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'Лист2'!$A$1:$M$269</definedName>
  </definedNames>
  <calcPr fullCalcOnLoad="1"/>
</workbook>
</file>

<file path=xl/sharedStrings.xml><?xml version="1.0" encoding="utf-8"?>
<sst xmlns="http://schemas.openxmlformats.org/spreadsheetml/2006/main" count="525" uniqueCount="368">
  <si>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</si>
  <si>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</si>
  <si>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</si>
  <si>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"Молоде покоління м. Южноукраїнська" на 2012-2015 роки ) ЦСССДМ</t>
  </si>
  <si>
    <t>091304</t>
  </si>
  <si>
    <t>200100</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</si>
  <si>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</si>
  <si>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</si>
  <si>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</si>
  <si>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</si>
  <si>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</si>
  <si>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 xml:space="preserve">Допомога при  народженні дитини (за рахунок субвенції з державного бюджету) </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</si>
  <si>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</si>
  <si>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</si>
  <si>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</si>
  <si>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</si>
  <si>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</si>
  <si>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Капітальні вкладення (за рахунок субвенції з державного бюджету)</t>
  </si>
  <si>
    <t>Утримання та навчально-тренувальна робота дитячо-юнацьких спортивних шкіл (за рахунок субвенції з державного бюджету)</t>
  </si>
  <si>
    <t>Утримання центрів соціальних служб для сім’ї, дітей та молоді (за рахунок субвенції з обласного бюджету)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</si>
  <si>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</si>
  <si>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Утримання центрів соціальних служб для сім’ї, дітей та молоді  (за рахунок коштів міського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</si>
  <si>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</si>
  <si>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</si>
  <si>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Відшкодування витрат на безкоштовне забезпечення лікарськими засобами інвалідів І та ІІ групи із психічними захворюваннями</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</si>
  <si>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</si>
  <si>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</si>
  <si>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160101</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</si>
  <si>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</si>
  <si>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</si>
  <si>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</si>
  <si>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території ( програма приватизації об"єктів, що належать до комунальної власності територіальної громади міста Южноукраїнська на 2012-2014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</si>
  <si>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</si>
  <si>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</si>
  <si>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міської ради від              2013 №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</si>
  <si>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</si>
  <si>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поводження із специфічними біологічними відходами в місті Южноукраїнську на 2012-2015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</si>
  <si>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</si>
  <si>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t>
  </si>
  <si>
    <t xml:space="preserve">Благоустрій  міст, сіл, селищ (субвенція з державного бюджету) </t>
  </si>
  <si>
    <t>Програма стабілізації та соціально-економічного розвитку територій  (програма капітального будівництва об"єктів житлово-комунального господарства  і соціальної інфраструктури м.Южноукраїнську на 2011-2015 роки)</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</si>
  <si>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</si>
  <si>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 xml:space="preserve">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</si>
  <si>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</si>
  <si>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250102</t>
  </si>
  <si>
    <t>Резервний фонд</t>
  </si>
  <si>
    <t>Забезпечення малозабезпечених пенсіонерів, громадян міста гарячими обідами та продовольчими наборами, доставка готової іжі</t>
  </si>
  <si>
    <t>Одноразова допомога до Дня пам'яті жертв радіаційних аварій та катастроф</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</si>
  <si>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</si>
  <si>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</si>
  <si>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</si>
  <si>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 xml:space="preserve">Житлово - експлуатаційне господарство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</si>
  <si>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</si>
  <si>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Водопровідно-каналізаційне господарство</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</si>
  <si>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</si>
  <si>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</si>
  <si>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</si>
  <si>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</si>
  <si>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Програма і централізовані заходи боротьби з туберкульозом  (міська програма протидії захворюванню на туберкульоз у 2013 році)</t>
  </si>
  <si>
    <t xml:space="preserve">Міська програма розвитку донорства крові та її компонентів на 2012 - 2016 роки)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</si>
  <si>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залишку за станом на 01 січня 2013 року субвенції з державного бюджету на будівництво, реконструкцію, ремонт та утримання вулиць і доріг комунальної власності у населених пунктах ) </t>
  </si>
  <si>
    <t>Землеустрій (міська програма розвитку земельних відносин на 2011-2015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</si>
  <si>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</si>
  <si>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</si>
  <si>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Міська програма з надання паліативної та хоспісної допомоги в м. Южноукраїнську на період до 2016 року</t>
  </si>
  <si>
    <t xml:space="preserve">Міська програма реформування медичного обслуговування населення міста Южноукраїнська на 2013- 2015рр </t>
  </si>
  <si>
    <t>Медичний супровід дітей у відділенні Соціальної реабілітації дітей інвалідів</t>
  </si>
  <si>
    <t xml:space="preserve">Заходи до свят (до Дня визволення Арбузинського району, захисника Вічизни, визволення Ураїни та Миколаївської області, партизанської слави, скорбі, незалежності України, Перемоги, жертв радаційних аварій та катастроф, ліквідатора ЧАЕС, виводу військ з Афганістану) </t>
  </si>
  <si>
    <t>Одноразова допомога афганцям</t>
  </si>
  <si>
    <t>Поздоровлення з ювелеєм осіб,які мають 90,95,100 і більше років , 85 років - УБД</t>
  </si>
  <si>
    <t>Пільги  інвалідам по зору 1 та 2 групи (50% по оплаті за комунальні послуги та електронергію)</t>
  </si>
  <si>
    <t>Пільи учаснкам бойових дій Великої Вітчизняої війни (100% знижка за комунальні послуги)</t>
  </si>
  <si>
    <t>Фінансова підтримка громадській організації "Союз - Чорнобиль"</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</si>
  <si>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 за рахунок субвенції з обласного бюджету)</t>
  </si>
  <si>
    <t>Фінансова підтримка громадській організації "Рада ветеранів"</t>
  </si>
  <si>
    <t>Фінансова підтримка громадській організації "Товариство інвалідів"</t>
  </si>
  <si>
    <t>Фінансова підтримка громадській організації "Спілка воїнів - інтернаціоналістів"</t>
  </si>
  <si>
    <t>Послуги зберігання автомобілів інвалідів</t>
  </si>
  <si>
    <t>120201</t>
  </si>
  <si>
    <t>Витрати на поховання учасників бойових дій  та інвалідів війни (за рахунок субвенції з обласного бюджету)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</si>
  <si>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</si>
  <si>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</si>
  <si>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</si>
  <si>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</si>
  <si>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</si>
  <si>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</si>
  <si>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</si>
  <si>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</si>
  <si>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</si>
  <si>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Інші культурно-освітні заклади та заходи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</si>
  <si>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</si>
  <si>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</si>
  <si>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Центри "Спорт для всіх" та заходи з фізичної культури (Програма розвитку культури, фізичної культури, спорту та туризму в м.Южноукраїнську на 2010-2013 роки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</si>
  <si>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2009 - 2013 роки)</t>
  </si>
  <si>
    <t>180404</t>
  </si>
  <si>
    <t>Капітальні вкладення</t>
  </si>
  <si>
    <t xml:space="preserve">Капітальний ремонт житлового фонду місцевих органів влади </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</si>
  <si>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</si>
  <si>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</si>
  <si>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</si>
  <si>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Програма стабілізації та соціально-економічного розвитку території ( міська програма розвитку земельних відносин на 2011 - 2015 роки в частині створення (оновлення) планово-картографічного матеріалу міста)</t>
  </si>
  <si>
    <t>Поховання одиноких безрідних громадян</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</si>
  <si>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</si>
  <si>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</si>
  <si>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</si>
  <si>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Виконавчий комітет Южноукраїнської міської ради</t>
  </si>
  <si>
    <t>Управління праці та соціального захисту населення Южноукраїнської міської ради</t>
  </si>
  <si>
    <t>Фінансове управління Южноукраїнської міської ради</t>
  </si>
  <si>
    <t>Управління молоді, спорту та культури Южноукраїнської міської ради</t>
  </si>
  <si>
    <t>Служба у справах дітей Южноукраїнської міської ради</t>
  </si>
  <si>
    <t>090308</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</si>
  <si>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</si>
  <si>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</si>
  <si>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 xml:space="preserve">Допомога при усиновленні дитини (за рахунок субвенції з державного бюджету)  </t>
  </si>
  <si>
    <t>Придбання санаторно - курортних путівок для інвалідів</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</si>
  <si>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</si>
  <si>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</si>
  <si>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</si>
  <si>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</si>
  <si>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Позашкільні заклади освіти, заходи із позашкільної роботи з дітьми</t>
  </si>
  <si>
    <t>Методична робота, інші заходи у сфері народної освіти</t>
  </si>
  <si>
    <t xml:space="preserve">Державна соціальна допомога інвалідам з дитинства та дітям-інвалідам </t>
  </si>
  <si>
    <t>170000</t>
  </si>
  <si>
    <t>240000</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</si>
  <si>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спеціальної багатофункціональної техніки для обслуговування об’єктів благоустрою)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</si>
  <si>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деревоподрібнюючої техніки)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</si>
  <si>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</si>
  <si>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пресу для твердих побутових відходів ) </t>
  </si>
  <si>
    <t>Загальноосвітні школи ( в тому числі школа - дитячий садок, інтернат при школі), спеціалізовані школи, ліцеї (субвенція з обласного бюджету)</t>
  </si>
  <si>
    <t>Щомісячна матеріальна допомога інвалідам, сім’ям загиблих та померлих учасників бойових дій в Афганістані</t>
  </si>
  <si>
    <t xml:space="preserve">Підтримка малого і середнього підприємництва ( міська програма розвитку малого та середнього підприємництва в м.Южноукраїнську на 2013-2014 роки) </t>
  </si>
  <si>
    <t>Інші видатки  на соціальний захист ветеранів війни та праці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</si>
  <si>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УПСЗН</t>
  </si>
  <si>
    <t>061007</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</si>
  <si>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</si>
  <si>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управління житлово-комунального господарства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</si>
  <si>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</si>
  <si>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03</t>
  </si>
  <si>
    <t>10</t>
  </si>
  <si>
    <t>15</t>
  </si>
  <si>
    <t>40</t>
  </si>
  <si>
    <t>75</t>
  </si>
  <si>
    <t>24</t>
  </si>
  <si>
    <t>67</t>
  </si>
  <si>
    <t>20</t>
  </si>
  <si>
    <t>Органи місцевого самоврядування (утримання управління з питань надзвичайних ситуацій та цивільного захисту населення Южноукраїнської міської ради)</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</si>
  <si>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в частині капітального ремонту напірної господарсько - побутової каналізації)</t>
  </si>
  <si>
    <t>Органи місцевого самоврядування (утримання служби у справах дітей Южноукраїнської міської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</si>
  <si>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</si>
  <si>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 xml:space="preserve">до рішення Южноукраїнської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</si>
  <si>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</si>
  <si>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</si>
  <si>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</si>
  <si>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Допомога у зв"язку з вагітністю і пологами (за рахунок субвенції з державного бюджету) </t>
  </si>
  <si>
    <t>11</t>
  </si>
  <si>
    <t>Центр соціальних служб для сім'ї, дітей та молоді</t>
  </si>
  <si>
    <t>091101</t>
  </si>
  <si>
    <t>250203</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</si>
  <si>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</si>
  <si>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</si>
  <si>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Дошкільні  заклади освіти (субвенція с обласного бюджету)</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</si>
  <si>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закінчення робіт по улаштуванню пандусу за адресою Цвіточний, 7 кв 76)</t>
  </si>
  <si>
    <t>240344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</si>
  <si>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</si>
  <si>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 xml:space="preserve">Допомога на догляд за дитиною віком до 3 років (за рахунок субвенції з державного бюджету) </t>
  </si>
  <si>
    <t>Допомога на догляд за інвалідом І чи ІІ групи внаслідок психічного розладу (за рахунок субвенції з обласного бюджету)</t>
  </si>
  <si>
    <t xml:space="preserve">Державна соціальна допомога інвалідам з дитинства та дітям-інвалідам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</si>
  <si>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</si>
  <si>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Культура і мистецтво (утримання закладів культури)</t>
  </si>
  <si>
    <t>Найменування коду тимчасової класифікації видатків та кредитування місцевих бюджетів</t>
  </si>
  <si>
    <t>120400</t>
  </si>
  <si>
    <t>Цільові фонди</t>
  </si>
  <si>
    <t>Житлово-комунальне господарство</t>
  </si>
  <si>
    <t xml:space="preserve">Пільги окремим категоріям громадян з послуг зв’язку (за рахунок субвенції з державного бюджету) </t>
  </si>
  <si>
    <t xml:space="preserve">Допомога на дітей одиноким матерям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</si>
  <si>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</si>
  <si>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</si>
  <si>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Органи місцевого самоврядування (утримання виконавчого комітету Южноукраїнської міської ради)</t>
  </si>
  <si>
    <t>Уточнений розподіл видатків бюджету міста Южноукраїнська на 2013 рік</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</si>
  <si>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</si>
  <si>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Інші видатки  на соціальний захист ветеранів війни та праці  (надання одноразової матеріальної допомоги сім’ям загиблих та померлих учасників бойових дій в Афганістані, інвалідам війни в Афганістані, які мешкають на території Миколаївської області - за рахунок субвенції з обласного бюджету)</t>
  </si>
  <si>
    <t>Управління освіти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</si>
  <si>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</si>
  <si>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Управління житлово-комунального господарства та будівництва Южноукраїнської міської ради</t>
  </si>
  <si>
    <t>130106</t>
  </si>
  <si>
    <t>Управління з питань надзвичайних ситуацій, мобілізаційної роботи та взаємодії з правоохоронними органами Южноукраїнської міської ради</t>
  </si>
  <si>
    <t>Інші освітні програми (Міська програма розвитку освіти в м.Южноукраїнську на 2011-2015 роки)</t>
  </si>
  <si>
    <t>Благоустрій  міст, сіл, селищ (міська програма реформування і розвитку житлово - комунального господарства міста Южноукраїнська на 2010 - 2014 роки)</t>
  </si>
  <si>
    <t>Органи місцевого самоврядування (утримання фінансового управління Южноукраїнської міської ради)</t>
  </si>
  <si>
    <t xml:space="preserve">Субсидії населенню для відшкодування витрат на оплату  житлово-комунальних послуг (за рахунок субвенції з державного бюджету) </t>
  </si>
  <si>
    <t>Фізична культура і спорт</t>
  </si>
  <si>
    <t>130000</t>
  </si>
  <si>
    <t>Код типової відомчої класифікації видатків</t>
  </si>
  <si>
    <t>Назва головного розпорядника коштів</t>
  </si>
  <si>
    <t xml:space="preserve">Видатки загального фонду </t>
  </si>
  <si>
    <t>із них:</t>
  </si>
  <si>
    <t>споживання</t>
  </si>
  <si>
    <t>розвитку</t>
  </si>
  <si>
    <t>оплата праці</t>
  </si>
  <si>
    <t>комунальні послуги та енергоносії</t>
  </si>
  <si>
    <t>Органи місцевого самоврядування (утримання управління освіти Южноукраїнської міської ради)</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</si>
  <si>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</si>
  <si>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</si>
  <si>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</si>
  <si>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</si>
  <si>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</si>
  <si>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</si>
  <si>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</si>
  <si>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</si>
  <si>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</si>
  <si>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</si>
  <si>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</si>
  <si>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</si>
  <si>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</si>
  <si>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</si>
  <si>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</si>
  <si>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</si>
  <si>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</si>
  <si>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</si>
  <si>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</si>
  <si>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</si>
  <si>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</si>
  <si>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</si>
  <si>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</si>
  <si>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</si>
  <si>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</si>
  <si>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</si>
  <si>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</si>
  <si>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</si>
  <si>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</si>
  <si>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</si>
  <si>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</si>
  <si>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</si>
  <si>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</si>
  <si>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</si>
  <si>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</si>
  <si>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</si>
  <si>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</si>
  <si>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</si>
  <si>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</si>
  <si>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</si>
  <si>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</si>
  <si>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</si>
  <si>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</si>
  <si>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</si>
  <si>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</si>
  <si>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</si>
  <si>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</si>
  <si>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</si>
  <si>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</si>
  <si>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</si>
  <si>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</si>
  <si>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</si>
  <si>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Програма стабілізації та соціально-економічного розвитку територій (програма охорони довкілля та раціонального природокористування міста Южноукраїнська на 2011 - 2015 роки - придбання мобільного сортувального комплексу для перероблення побутових відходів) </t>
  </si>
  <si>
    <t>за головними розпорядниками  коштів</t>
  </si>
  <si>
    <t xml:space="preserve">Пільги населенню на оплату житлово - комунальних послуг  (субвенція) </t>
  </si>
  <si>
    <t>170302</t>
  </si>
  <si>
    <t>090417</t>
  </si>
  <si>
    <t xml:space="preserve">Охорона та раціональне використання водних ресурсів </t>
  </si>
  <si>
    <t>Заходи з організації рятування на водах (Утримання рятувальної станції)</t>
  </si>
  <si>
    <t>070808</t>
  </si>
  <si>
    <t>210105</t>
  </si>
  <si>
    <t>090205</t>
  </si>
  <si>
    <t>090208</t>
  </si>
  <si>
    <t>090307</t>
  </si>
  <si>
    <t>240601</t>
  </si>
  <si>
    <t>110000</t>
  </si>
  <si>
    <t>Культура і мистецтво (всього)</t>
  </si>
  <si>
    <t>Бібліотеки</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</si>
  <si>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</si>
  <si>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</si>
  <si>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</si>
  <si>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</si>
  <si>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Капітальний ремонт житлового фонду місцевих органів влади  (субвенція з державного бюджету)</t>
  </si>
  <si>
    <t>Теплові мережі (субвенція с державного бюджету)</t>
  </si>
  <si>
    <t>Капітальні вкладення (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</si>
  <si>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 xml:space="preserve">Програма стабілізації та соціально-економічного розвитку територій, у тому числі: </t>
  </si>
  <si>
    <t>Школа естетичного виховання дітей</t>
  </si>
  <si>
    <t>Музеї і виставки</t>
  </si>
  <si>
    <t>090200</t>
  </si>
  <si>
    <t>Всього пільги:</t>
  </si>
  <si>
    <t>090300</t>
  </si>
  <si>
    <t>Всього допомоги:</t>
  </si>
  <si>
    <t>090400</t>
  </si>
  <si>
    <t>Всього:</t>
  </si>
  <si>
    <t>091200</t>
  </si>
  <si>
    <t>100202</t>
  </si>
  <si>
    <t>Інші заклади освіти (міжшкільний навчально-виробничий комбінат)</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</si>
  <si>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</si>
  <si>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</si>
  <si>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</si>
  <si>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</si>
  <si>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</si>
  <si>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</si>
  <si>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Дошкільні  заклади освіти</t>
  </si>
  <si>
    <t>Загальноосвітні школи ( в тому числі школа - дитячий садок, інтернат при школі), спеціалізовані школи, ліцеї</t>
  </si>
  <si>
    <t>Централізовані бухгалтерії обласних, міських, районних відділів освіти</t>
  </si>
  <si>
    <t>Групи централізованого господарського обслуговування</t>
  </si>
  <si>
    <t>130115</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</si>
  <si>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</si>
  <si>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</si>
  <si>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Загальноосвітні школи ( в тому числі школа - дитячий садок, інтернат при школі), спеціалізовані школи, ліцеї(субвенція с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</si>
  <si>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</si>
  <si>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Теплові мережі</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</si>
  <si>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Дня міста )</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</si>
  <si>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</si>
  <si>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м.Южноукраїнська" на 2012-2015 роки)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</si>
  <si>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</si>
  <si>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капітального ремонту адміністративно-виробничої будівлі комунальної власності за адресою Цвіточний, 9)</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</si>
  <si>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проектування об'єкту "Капітальний ремонт приміщень адміністративно-виробничої будівлі за адресою бул. Цвіточний, 9" та для проведення експертизи кошторисної документації)</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</si>
  <si>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</si>
  <si>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</si>
  <si>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</si>
  <si>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період до 2015 року )</t>
  </si>
  <si>
    <t>Додаток №3</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</si>
  <si>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2012 - 2015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</si>
  <si>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</si>
  <si>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100000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</si>
  <si>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</si>
  <si>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Матеріальна допомога до дня волонтерів</t>
  </si>
  <si>
    <t>Матеріальна допомога до дня визволення України</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</si>
  <si>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</si>
  <si>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</si>
  <si>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</si>
  <si>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Транспорт, дорожнє господарство, зв'язок, телекомунікації та інформатика</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</si>
  <si>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</si>
  <si>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</si>
  <si>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</si>
  <si>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</si>
  <si>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Загальноосвітні школи ( в тому числі школа - дитячий садок, інтернат при школі), спеціалізовані школи, ліцеї(субвенція с державного бюджету)</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</si>
  <si>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</si>
  <si>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Безкоштовне зубопротезування пільгової категорії населення та утримання соціальних палат</t>
  </si>
  <si>
    <t>13=3+6</t>
  </si>
  <si>
    <t>130102</t>
  </si>
  <si>
    <t>Утримання та навчально-тренувальна робота дитячо-юнацьких спортивних шкіл</t>
  </si>
  <si>
    <t>Начальник фінансового управління Южноукраїнської міської ради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</si>
  <si>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і соціальної інфраструктури міста Южноукраїнська на 2011-2015 роки - видатки, пов'язані із проведенням експертизи проектно-кошторисної документації)</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</si>
  <si>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в частині фінансування видатків, пов’язаних із утриманням, управлінням майном що належить до комунальної власності територіальної громади міста (експертною оцінкою, технічною інвентаризацією, оформленням права  власності, розміщення оголошень в ЗМІ) та видатків, пов'язаних із оформленням документів по придбанню об'єкту незавершеного будівництва "Дітяча лікарня" у комунальну власність.</t>
  </si>
  <si>
    <t xml:space="preserve">Допомога дітям-сиротам та дітям, позбавленим батьківського піклування, яким виповнюється 18 років </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</si>
  <si>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</si>
  <si>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</si>
  <si>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</si>
  <si>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</si>
  <si>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</si>
  <si>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</si>
  <si>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(субвенція з державного бюджету місцевим бюджетам на здійснення заходів щодо соціально-економічного розвитку окремих територій)</t>
  </si>
  <si>
    <t>Капітальні вкладення ( субвенції з державного бюджету місцевим бюджетам на здійснення заходів щодо соціально-економічного розвитку окремих територій)</t>
  </si>
  <si>
    <t>Утримання та навчально-тренувальна робота дитячо-юнацьких спортивних шкіл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</si>
  <si>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</si>
  <si>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Інші видатки на соціальний захист населення (за рахунок субвенції з обласного бюджету)</t>
  </si>
  <si>
    <t>Міська комплексна програма "Турбота" на 2013 - 2017 роки</t>
  </si>
  <si>
    <t>Інші видатки  на соціальний захист ветеранів війни та праці  (міська комплексна програма "Турбота" на 2013 - 2017 роки)</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</si>
  <si>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</si>
  <si>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</si>
  <si>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</si>
  <si>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</si>
  <si>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у 2013 році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</si>
  <si>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</si>
  <si>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Благоустрій  міст, сіл, селищ (міська програма зайнятості населення міста Южноукраїнська на період до 2017 року)</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</si>
  <si>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</si>
  <si>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</si>
  <si>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</si>
  <si>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</si>
  <si>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</si>
  <si>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t>
  </si>
  <si>
    <t>Безкоштовне забезпечення ліками ветеранів Великої Вітчизняної війни за рецептами лікарів згідно переліку</t>
  </si>
  <si>
    <t>Матеріальна допомога громадянам міста у зв’язку з підвищенням тарифів на житлово-комунальні послуги</t>
  </si>
  <si>
    <t>250344</t>
  </si>
</sst>
</file>

<file path=xl/styles.xml><?xml version="1.0" encoding="utf-8"?>
<styleSheet xmlns="http://schemas.openxmlformats.org/spreadsheetml/2006/main">
  <numFmts count="3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s>
  <fonts count="38">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3"/>
      <name val="Times New Roman"/>
      <family val="1"/>
    </font>
    <font>
      <sz val="13"/>
      <color indexed="8"/>
      <name val="Times New Roman"/>
      <family val="1"/>
    </font>
    <font>
      <sz val="13"/>
      <name val="Arial Cyr"/>
      <family val="0"/>
    </font>
    <font>
      <sz val="11"/>
      <name val="Arial Cyr"/>
      <family val="2"/>
    </font>
    <font>
      <i/>
      <sz val="12"/>
      <name val="Times New Roman"/>
      <family val="1"/>
    </font>
    <font>
      <sz val="11"/>
      <name val="Times New Roman"/>
      <family val="1"/>
    </font>
    <font>
      <sz val="8"/>
      <name val="Arial Cyr"/>
      <family val="0"/>
    </font>
    <font>
      <sz val="14"/>
      <name val="Arial Cyr"/>
      <family val="2"/>
    </font>
    <font>
      <sz val="14"/>
      <color indexed="10"/>
      <name val="Arial Cyr"/>
      <family val="2"/>
    </font>
    <font>
      <b/>
      <sz val="15"/>
      <color indexed="62"/>
      <name val="Calibri"/>
      <family val="2"/>
    </font>
    <font>
      <b/>
      <sz val="11"/>
      <color indexed="62"/>
      <name val="Calibri"/>
      <family val="2"/>
    </font>
    <font>
      <b/>
      <sz val="18"/>
      <color indexed="62"/>
      <name val="Cambria"/>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9"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0" fillId="0" borderId="6" applyNumberFormat="0" applyFill="0" applyAlignment="0" applyProtection="0"/>
    <xf numFmtId="0" fontId="31" fillId="15" borderId="7" applyNumberFormat="0" applyAlignment="0" applyProtection="0"/>
    <xf numFmtId="0" fontId="22" fillId="0" borderId="0" applyNumberFormat="0" applyFill="0" applyBorder="0" applyAlignment="0" applyProtection="0"/>
    <xf numFmtId="0" fontId="32" fillId="8" borderId="0" applyNumberFormat="0" applyBorder="0" applyAlignment="0" applyProtection="0"/>
    <xf numFmtId="0" fontId="2"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32">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3" fillId="0" borderId="10" xfId="0" applyNumberFormat="1" applyFont="1" applyFill="1" applyBorder="1" applyAlignment="1">
      <alignment wrapText="1"/>
    </xf>
    <xf numFmtId="49" fontId="6" fillId="0" borderId="0" xfId="0" applyNumberFormat="1" applyFont="1" applyFill="1" applyAlignment="1">
      <alignmen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2" fontId="6" fillId="0" borderId="0" xfId="0" applyNumberFormat="1" applyFont="1" applyFill="1" applyAlignment="1">
      <alignment horizontal="left"/>
    </xf>
    <xf numFmtId="49" fontId="6" fillId="0" borderId="0" xfId="0" applyNumberFormat="1" applyFont="1" applyFill="1" applyAlignment="1">
      <alignment horizontal="left" wrapText="1"/>
    </xf>
    <xf numFmtId="0" fontId="7" fillId="0" borderId="0" xfId="0" applyFont="1" applyFill="1" applyAlignment="1">
      <alignment/>
    </xf>
    <xf numFmtId="0" fontId="3" fillId="0" borderId="13" xfId="0" applyFont="1" applyFill="1" applyBorder="1" applyAlignment="1">
      <alignment horizontal="left" wrapText="1"/>
    </xf>
    <xf numFmtId="0" fontId="3" fillId="18" borderId="12" xfId="0" applyFont="1" applyFill="1" applyBorder="1" applyAlignment="1">
      <alignment horizontal="center" wrapText="1"/>
    </xf>
    <xf numFmtId="49" fontId="3" fillId="18" borderId="12" xfId="0" applyNumberFormat="1" applyFont="1" applyFill="1" applyBorder="1" applyAlignment="1">
      <alignment horizontal="center" wrapText="1"/>
    </xf>
    <xf numFmtId="190" fontId="3" fillId="0" borderId="10" xfId="0" applyNumberFormat="1" applyFont="1" applyFill="1" applyBorder="1" applyAlignment="1">
      <alignment wrapText="1"/>
    </xf>
    <xf numFmtId="0" fontId="3" fillId="18" borderId="0" xfId="0" applyFont="1" applyFill="1" applyAlignment="1">
      <alignment/>
    </xf>
    <xf numFmtId="49" fontId="3" fillId="18" borderId="10" xfId="0" applyNumberFormat="1" applyFont="1" applyFill="1" applyBorder="1" applyAlignment="1">
      <alignment horizontal="center" wrapText="1"/>
    </xf>
    <xf numFmtId="0" fontId="3" fillId="18" borderId="10" xfId="0" applyFont="1" applyFill="1" applyBorder="1" applyAlignment="1">
      <alignment horizontal="center" wrapText="1"/>
    </xf>
    <xf numFmtId="0" fontId="0" fillId="0" borderId="0" xfId="0" applyFont="1" applyFill="1" applyAlignment="1">
      <alignment/>
    </xf>
    <xf numFmtId="0" fontId="3" fillId="18" borderId="10" xfId="0" applyFont="1" applyFill="1" applyBorder="1" applyAlignment="1">
      <alignment wrapText="1"/>
    </xf>
    <xf numFmtId="0" fontId="3" fillId="18" borderId="10" xfId="0" applyFont="1" applyFill="1" applyBorder="1" applyAlignment="1">
      <alignment horizontal="left" wrapText="1"/>
    </xf>
    <xf numFmtId="190" fontId="3" fillId="0" borderId="0" xfId="0" applyNumberFormat="1" applyFont="1" applyFill="1" applyAlignment="1">
      <alignment wrapText="1"/>
    </xf>
    <xf numFmtId="190" fontId="3" fillId="18" borderId="10" xfId="0" applyNumberFormat="1" applyFont="1" applyFill="1" applyBorder="1" applyAlignment="1">
      <alignment wrapText="1"/>
    </xf>
    <xf numFmtId="190" fontId="3" fillId="18" borderId="12" xfId="0" applyNumberFormat="1" applyFont="1" applyFill="1" applyBorder="1" applyAlignment="1">
      <alignment wrapText="1"/>
    </xf>
    <xf numFmtId="190" fontId="10" fillId="0" borderId="10" xfId="0" applyNumberFormat="1" applyFont="1" applyFill="1" applyBorder="1" applyAlignment="1" applyProtection="1">
      <alignment/>
      <protection locked="0"/>
    </xf>
    <xf numFmtId="190" fontId="4" fillId="0" borderId="10" xfId="0" applyNumberFormat="1" applyFont="1" applyFill="1" applyBorder="1" applyAlignment="1">
      <alignment wrapText="1"/>
    </xf>
    <xf numFmtId="190" fontId="0" fillId="0" borderId="10" xfId="0" applyNumberFormat="1" applyFont="1" applyFill="1" applyBorder="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9" fillId="0" borderId="0" xfId="0" applyNumberFormat="1" applyFont="1" applyFill="1" applyBorder="1" applyAlignment="1">
      <alignment wrapText="1"/>
    </xf>
    <xf numFmtId="190" fontId="9" fillId="0" borderId="10" xfId="0" applyNumberFormat="1" applyFont="1" applyFill="1" applyBorder="1" applyAlignment="1">
      <alignment wrapText="1"/>
    </xf>
    <xf numFmtId="190" fontId="3" fillId="0" borderId="12"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0" fontId="3" fillId="3" borderId="10" xfId="0" applyFont="1" applyFill="1" applyBorder="1" applyAlignment="1">
      <alignment horizontal="left" wrapText="1"/>
    </xf>
    <xf numFmtId="190" fontId="3" fillId="18" borderId="0" xfId="0" applyNumberFormat="1" applyFont="1" applyFill="1" applyAlignment="1">
      <alignment/>
    </xf>
    <xf numFmtId="190" fontId="3" fillId="0" borderId="0" xfId="0" applyNumberFormat="1" applyFont="1" applyFill="1" applyAlignment="1">
      <alignment/>
    </xf>
    <xf numFmtId="190" fontId="3" fillId="0" borderId="10" xfId="0" applyNumberFormat="1" applyFont="1" applyFill="1" applyBorder="1" applyAlignment="1">
      <alignment horizontal="right" wrapText="1"/>
    </xf>
    <xf numFmtId="189" fontId="9" fillId="0" borderId="0" xfId="0" applyNumberFormat="1" applyFont="1" applyFill="1" applyBorder="1" applyAlignment="1">
      <alignment wrapText="1"/>
    </xf>
    <xf numFmtId="1" fontId="3" fillId="0" borderId="13" xfId="0" applyNumberFormat="1" applyFont="1" applyFill="1" applyBorder="1" applyAlignment="1">
      <alignment wrapText="1"/>
    </xf>
    <xf numFmtId="0" fontId="3" fillId="0" borderId="10" xfId="0" applyFont="1" applyBorder="1" applyAlignment="1">
      <alignment wrapText="1"/>
    </xf>
    <xf numFmtId="190" fontId="9" fillId="0" borderId="0" xfId="0" applyNumberFormat="1" applyFont="1" applyFill="1" applyAlignment="1">
      <alignment wrapText="1"/>
    </xf>
    <xf numFmtId="190" fontId="16" fillId="0" borderId="0" xfId="0" applyNumberFormat="1" applyFont="1" applyFill="1" applyAlignment="1">
      <alignment horizontal="left" wrapText="1"/>
    </xf>
    <xf numFmtId="0" fontId="16" fillId="0" borderId="0" xfId="0" applyFont="1" applyFill="1" applyAlignment="1">
      <alignment horizontal="left" wrapText="1"/>
    </xf>
    <xf numFmtId="0" fontId="0" fillId="0" borderId="0" xfId="0" applyFont="1" applyFill="1" applyAlignment="1">
      <alignment wrapText="1"/>
    </xf>
    <xf numFmtId="189" fontId="6" fillId="0" borderId="0" xfId="0" applyNumberFormat="1" applyFont="1" applyFill="1" applyAlignment="1">
      <alignment wrapText="1"/>
    </xf>
    <xf numFmtId="189" fontId="6" fillId="0" borderId="0" xfId="0" applyNumberFormat="1" applyFont="1" applyFill="1" applyAlignment="1">
      <alignment/>
    </xf>
    <xf numFmtId="49" fontId="11"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xf>
    <xf numFmtId="0" fontId="8" fillId="0" borderId="10" xfId="0" applyFont="1" applyFill="1" applyBorder="1" applyAlignment="1" applyProtection="1">
      <alignment horizontal="center"/>
      <protection locked="0"/>
    </xf>
    <xf numFmtId="190" fontId="3" fillId="0" borderId="10" xfId="0" applyNumberFormat="1" applyFont="1" applyFill="1" applyBorder="1" applyAlignment="1" applyProtection="1">
      <alignment/>
      <protection locked="0"/>
    </xf>
    <xf numFmtId="190" fontId="10" fillId="0" borderId="10" xfId="0" applyNumberFormat="1" applyFont="1" applyFill="1" applyBorder="1" applyAlignment="1">
      <alignment/>
    </xf>
    <xf numFmtId="0" fontId="9" fillId="0" borderId="0" xfId="0" applyFont="1" applyFill="1" applyBorder="1" applyAlignment="1">
      <alignment/>
    </xf>
    <xf numFmtId="190" fontId="10" fillId="0" borderId="14" xfId="0" applyNumberFormat="1" applyFont="1" applyFill="1" applyBorder="1" applyAlignment="1">
      <alignment/>
    </xf>
    <xf numFmtId="0" fontId="3" fillId="0" borderId="13" xfId="0" applyFont="1" applyFill="1" applyBorder="1" applyAlignment="1">
      <alignment wrapText="1"/>
    </xf>
    <xf numFmtId="189" fontId="3" fillId="0" borderId="0" xfId="0" applyNumberFormat="1" applyFont="1" applyFill="1" applyAlignment="1">
      <alignment/>
    </xf>
    <xf numFmtId="0" fontId="15" fillId="0" borderId="0" xfId="0" applyFont="1" applyFill="1" applyBorder="1" applyAlignment="1">
      <alignment/>
    </xf>
    <xf numFmtId="0" fontId="3" fillId="0" borderId="14" xfId="0" applyFont="1" applyFill="1" applyBorder="1" applyAlignment="1">
      <alignment horizontal="left" wrapText="1"/>
    </xf>
    <xf numFmtId="190" fontId="3" fillId="0" borderId="11" xfId="0" applyNumberFormat="1" applyFont="1" applyFill="1" applyBorder="1" applyAlignment="1" applyProtection="1">
      <alignment/>
      <protection locked="0"/>
    </xf>
    <xf numFmtId="190" fontId="10" fillId="0" borderId="11" xfId="0" applyNumberFormat="1" applyFont="1" applyFill="1" applyBorder="1" applyAlignment="1">
      <alignment/>
    </xf>
    <xf numFmtId="190" fontId="0" fillId="0" borderId="0" xfId="0" applyNumberFormat="1" applyFont="1" applyFill="1" applyAlignment="1">
      <alignment wrapText="1"/>
    </xf>
    <xf numFmtId="0" fontId="14" fillId="0" borderId="0" xfId="0" applyFont="1" applyFill="1" applyAlignment="1">
      <alignment wrapText="1"/>
    </xf>
    <xf numFmtId="190" fontId="14"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4" fillId="0" borderId="0" xfId="0" applyNumberFormat="1" applyFont="1" applyFill="1" applyAlignment="1">
      <alignment horizontal="center" wrapText="1"/>
    </xf>
    <xf numFmtId="49" fontId="5" fillId="0" borderId="0" xfId="0" applyNumberFormat="1" applyFont="1" applyFill="1" applyBorder="1" applyAlignment="1">
      <alignment horizontal="left"/>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0" fontId="18" fillId="0" borderId="10" xfId="0" applyNumberFormat="1" applyFont="1" applyFill="1" applyBorder="1" applyAlignment="1">
      <alignment wrapText="1"/>
    </xf>
    <xf numFmtId="190" fontId="18" fillId="0" borderId="10" xfId="0" applyNumberFormat="1" applyFont="1" applyFill="1" applyBorder="1" applyAlignment="1">
      <alignment wrapText="1"/>
    </xf>
    <xf numFmtId="190" fontId="19" fillId="0" borderId="1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13" xfId="0" applyFont="1" applyFill="1" applyBorder="1" applyAlignment="1">
      <alignment vertical="center" wrapText="1"/>
    </xf>
    <xf numFmtId="190" fontId="18" fillId="0" borderId="12" xfId="0" applyNumberFormat="1" applyFont="1" applyFill="1" applyBorder="1" applyAlignment="1">
      <alignment wrapText="1"/>
    </xf>
    <xf numFmtId="1" fontId="3" fillId="0" borderId="13" xfId="0" applyNumberFormat="1" applyFont="1" applyFill="1" applyBorder="1" applyAlignment="1">
      <alignment horizontal="left" wrapText="1"/>
    </xf>
    <xf numFmtId="190" fontId="10" fillId="0" borderId="11" xfId="0" applyNumberFormat="1" applyFont="1" applyFill="1" applyBorder="1" applyAlignment="1" applyProtection="1">
      <alignment/>
      <protection locked="0"/>
    </xf>
    <xf numFmtId="49" fontId="3" fillId="3" borderId="10" xfId="0" applyNumberFormat="1" applyFont="1" applyFill="1" applyBorder="1" applyAlignment="1">
      <alignment horizontal="center" wrapText="1"/>
    </xf>
    <xf numFmtId="190" fontId="3" fillId="3" borderId="10" xfId="0" applyNumberFormat="1" applyFont="1" applyFill="1" applyBorder="1" applyAlignment="1">
      <alignment wrapText="1"/>
    </xf>
    <xf numFmtId="0" fontId="3" fillId="3" borderId="0" xfId="0" applyFont="1" applyFill="1" applyAlignment="1">
      <alignment/>
    </xf>
    <xf numFmtId="180" fontId="3" fillId="3" borderId="0" xfId="0" applyNumberFormat="1" applyFont="1" applyFill="1" applyBorder="1" applyAlignment="1">
      <alignment wrapText="1"/>
    </xf>
    <xf numFmtId="187" fontId="3" fillId="0" borderId="0" xfId="0" applyNumberFormat="1" applyFont="1" applyFill="1" applyBorder="1" applyAlignment="1">
      <alignment wrapText="1"/>
    </xf>
    <xf numFmtId="0" fontId="3" fillId="0" borderId="15" xfId="0" applyFont="1" applyFill="1" applyBorder="1" applyAlignment="1">
      <alignment wrapText="1"/>
    </xf>
    <xf numFmtId="0" fontId="3" fillId="0" borderId="16" xfId="0" applyFont="1" applyFill="1" applyBorder="1" applyAlignment="1">
      <alignment vertical="top" wrapText="1"/>
    </xf>
    <xf numFmtId="190" fontId="23" fillId="18" borderId="10" xfId="0" applyNumberFormat="1" applyFont="1" applyFill="1" applyBorder="1" applyAlignment="1">
      <alignment wrapText="1"/>
    </xf>
    <xf numFmtId="187" fontId="3" fillId="0" borderId="0" xfId="0" applyNumberFormat="1" applyFont="1" applyFill="1" applyAlignment="1">
      <alignment wrapText="1"/>
    </xf>
    <xf numFmtId="190" fontId="9" fillId="0" borderId="11" xfId="0" applyNumberFormat="1" applyFont="1" applyFill="1" applyBorder="1" applyAlignment="1">
      <alignment wrapText="1"/>
    </xf>
    <xf numFmtId="191" fontId="3" fillId="0" borderId="10" xfId="0" applyNumberFormat="1" applyFont="1" applyFill="1" applyBorder="1" applyAlignment="1">
      <alignment wrapText="1"/>
    </xf>
    <xf numFmtId="49" fontId="9" fillId="0" borderId="10" xfId="0" applyNumberFormat="1" applyFont="1" applyFill="1" applyBorder="1" applyAlignment="1">
      <alignment horizontal="center" wrapText="1"/>
    </xf>
    <xf numFmtId="49" fontId="12" fillId="0" borderId="10" xfId="0" applyNumberFormat="1" applyFont="1" applyFill="1" applyBorder="1" applyAlignment="1" applyProtection="1">
      <alignment horizontal="center" vertical="center" wrapText="1"/>
      <protection locked="0"/>
    </xf>
    <xf numFmtId="0" fontId="6" fillId="0" borderId="0" xfId="0" applyFont="1" applyFill="1" applyAlignment="1">
      <alignment horizontal="left"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6" fillId="0" borderId="0" xfId="0" applyNumberFormat="1" applyFont="1" applyFill="1" applyAlignment="1">
      <alignment horizontal="center" wrapText="1"/>
    </xf>
    <xf numFmtId="0" fontId="11" fillId="0" borderId="10" xfId="0" applyFont="1" applyFill="1" applyBorder="1" applyAlignment="1">
      <alignment horizontal="center" vertical="center" wrapText="1"/>
    </xf>
    <xf numFmtId="190" fontId="18" fillId="0" borderId="11" xfId="0" applyNumberFormat="1" applyFont="1" applyFill="1" applyBorder="1" applyAlignment="1">
      <alignment horizontal="right" wrapText="1"/>
    </xf>
    <xf numFmtId="190" fontId="18" fillId="0" borderId="12" xfId="0" applyNumberFormat="1" applyFont="1" applyFill="1" applyBorder="1" applyAlignment="1">
      <alignment horizontal="right" wrapText="1"/>
    </xf>
    <xf numFmtId="49" fontId="3" fillId="0" borderId="11"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190" fontId="3" fillId="0" borderId="17" xfId="0" applyNumberFormat="1" applyFont="1" applyFill="1" applyBorder="1" applyAlignment="1">
      <alignment horizontal="right" wrapText="1"/>
    </xf>
    <xf numFmtId="190" fontId="3" fillId="0" borderId="18"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81"/>
  <sheetViews>
    <sheetView tabSelected="1" view="pageBreakPreview" zoomScale="60" zoomScaleNormal="50" zoomScalePageLayoutView="0" workbookViewId="0" topLeftCell="A9">
      <pane xSplit="2" ySplit="2" topLeftCell="C241" activePane="bottomRight" state="frozen"/>
      <selection pane="topLeft" activeCell="A9" sqref="A9"/>
      <selection pane="topRight" activeCell="C9" sqref="C9"/>
      <selection pane="bottomLeft" activeCell="A11" sqref="A11"/>
      <selection pane="bottomRight" activeCell="N243" sqref="N243"/>
    </sheetView>
  </sheetViews>
  <sheetFormatPr defaultColWidth="9.00390625" defaultRowHeight="12.75"/>
  <cols>
    <col min="1" max="1" width="16.25390625" style="1" customWidth="1"/>
    <col min="2" max="2" width="73.25390625" style="2" customWidth="1"/>
    <col min="3" max="3" width="18.875" style="2" customWidth="1"/>
    <col min="4" max="4" width="18.375" style="2" customWidth="1"/>
    <col min="5" max="5" width="17.375" style="2" customWidth="1"/>
    <col min="6" max="6" width="19.125" style="2" customWidth="1"/>
    <col min="7" max="7" width="20.00390625" style="63" customWidth="1"/>
    <col min="8" max="8" width="15.75390625" style="2" customWidth="1"/>
    <col min="9" max="9" width="15.375" style="2" customWidth="1"/>
    <col min="10" max="10" width="18.375" style="2" customWidth="1"/>
    <col min="11" max="11" width="19.125" style="2" customWidth="1"/>
    <col min="12" max="12" width="16.25390625" style="2" customWidth="1"/>
    <col min="13" max="13" width="18.75390625" style="91" customWidth="1"/>
    <col min="14" max="14" width="19.875" style="6" customWidth="1"/>
    <col min="15" max="15" width="16.75390625" style="6" bestFit="1" customWidth="1"/>
    <col min="16" max="16384" width="9.125" style="6" customWidth="1"/>
  </cols>
  <sheetData>
    <row r="1" spans="1:13" s="24" customFormat="1" ht="26.25">
      <c r="A1" s="22"/>
      <c r="B1" s="23"/>
      <c r="C1" s="23"/>
      <c r="D1" s="23"/>
      <c r="E1" s="23"/>
      <c r="F1" s="23"/>
      <c r="G1" s="63"/>
      <c r="H1" s="23"/>
      <c r="I1" s="23"/>
      <c r="J1" s="115" t="s">
        <v>314</v>
      </c>
      <c r="K1" s="115"/>
      <c r="L1" s="115"/>
      <c r="M1" s="64"/>
    </row>
    <row r="2" spans="1:13" s="24" customFormat="1" ht="21.75" customHeight="1">
      <c r="A2" s="22"/>
      <c r="B2" s="23"/>
      <c r="C2" s="23"/>
      <c r="D2" s="23"/>
      <c r="E2" s="23"/>
      <c r="F2" s="23"/>
      <c r="G2" s="63"/>
      <c r="H2" s="23"/>
      <c r="I2" s="23"/>
      <c r="J2" s="25" t="s">
        <v>149</v>
      </c>
      <c r="K2" s="25"/>
      <c r="L2" s="25"/>
      <c r="M2" s="65"/>
    </row>
    <row r="3" spans="1:13" s="24" customFormat="1" ht="23.25" customHeight="1">
      <c r="A3" s="22"/>
      <c r="B3" s="23"/>
      <c r="C3" s="23"/>
      <c r="D3" s="23"/>
      <c r="E3" s="23"/>
      <c r="F3" s="23"/>
      <c r="G3" s="63"/>
      <c r="H3" s="23"/>
      <c r="I3" s="23"/>
      <c r="J3" s="25" t="s">
        <v>34</v>
      </c>
      <c r="K3" s="25"/>
      <c r="L3" s="25"/>
      <c r="M3" s="64"/>
    </row>
    <row r="4" spans="1:13" s="24" customFormat="1" ht="36" customHeight="1">
      <c r="A4" s="116" t="s">
        <v>178</v>
      </c>
      <c r="B4" s="116"/>
      <c r="C4" s="116"/>
      <c r="D4" s="116"/>
      <c r="E4" s="116"/>
      <c r="F4" s="116"/>
      <c r="G4" s="117"/>
      <c r="H4" s="116"/>
      <c r="I4" s="116"/>
      <c r="J4" s="116"/>
      <c r="K4" s="116"/>
      <c r="L4" s="116"/>
      <c r="M4" s="116"/>
    </row>
    <row r="5" spans="1:13" s="24" customFormat="1" ht="24" customHeight="1">
      <c r="A5" s="116" t="s">
        <v>254</v>
      </c>
      <c r="B5" s="116"/>
      <c r="C5" s="116"/>
      <c r="D5" s="116"/>
      <c r="E5" s="116"/>
      <c r="F5" s="116"/>
      <c r="G5" s="117"/>
      <c r="H5" s="116"/>
      <c r="I5" s="116"/>
      <c r="J5" s="116"/>
      <c r="K5" s="116"/>
      <c r="L5" s="116"/>
      <c r="M5" s="116"/>
    </row>
    <row r="6" spans="11:13" ht="18.75">
      <c r="K6" s="118" t="s">
        <v>226</v>
      </c>
      <c r="L6" s="118"/>
      <c r="M6" s="118"/>
    </row>
    <row r="7" spans="1:13" s="28" customFormat="1" ht="65.25" customHeight="1">
      <c r="A7" s="66" t="s">
        <v>192</v>
      </c>
      <c r="B7" s="66" t="s">
        <v>193</v>
      </c>
      <c r="C7" s="119" t="s">
        <v>194</v>
      </c>
      <c r="D7" s="120"/>
      <c r="E7" s="120"/>
      <c r="F7" s="119" t="s">
        <v>228</v>
      </c>
      <c r="G7" s="119"/>
      <c r="H7" s="119"/>
      <c r="I7" s="119"/>
      <c r="J7" s="119"/>
      <c r="K7" s="119"/>
      <c r="L7" s="119"/>
      <c r="M7" s="125" t="s">
        <v>204</v>
      </c>
    </row>
    <row r="8" spans="1:13" s="28" customFormat="1" ht="12.75" customHeight="1">
      <c r="A8" s="121" t="s">
        <v>116</v>
      </c>
      <c r="B8" s="121" t="s">
        <v>169</v>
      </c>
      <c r="C8" s="114" t="s">
        <v>203</v>
      </c>
      <c r="D8" s="114" t="s">
        <v>195</v>
      </c>
      <c r="E8" s="114"/>
      <c r="F8" s="114" t="s">
        <v>203</v>
      </c>
      <c r="G8" s="114" t="s">
        <v>196</v>
      </c>
      <c r="H8" s="114" t="s">
        <v>195</v>
      </c>
      <c r="I8" s="114"/>
      <c r="J8" s="114" t="s">
        <v>197</v>
      </c>
      <c r="K8" s="114" t="s">
        <v>195</v>
      </c>
      <c r="L8" s="114"/>
      <c r="M8" s="125"/>
    </row>
    <row r="9" spans="1:13" s="28" customFormat="1" ht="12.75" customHeight="1">
      <c r="A9" s="121"/>
      <c r="B9" s="121"/>
      <c r="C9" s="114"/>
      <c r="D9" s="114" t="s">
        <v>198</v>
      </c>
      <c r="E9" s="114" t="s">
        <v>199</v>
      </c>
      <c r="F9" s="114"/>
      <c r="G9" s="114"/>
      <c r="H9" s="114" t="s">
        <v>198</v>
      </c>
      <c r="I9" s="114" t="s">
        <v>199</v>
      </c>
      <c r="J9" s="114"/>
      <c r="K9" s="114" t="s">
        <v>292</v>
      </c>
      <c r="L9" s="67" t="s">
        <v>195</v>
      </c>
      <c r="M9" s="125"/>
    </row>
    <row r="10" spans="1:13" s="28" customFormat="1" ht="192.75" customHeight="1">
      <c r="A10" s="121"/>
      <c r="B10" s="121"/>
      <c r="C10" s="114"/>
      <c r="D10" s="114"/>
      <c r="E10" s="114"/>
      <c r="F10" s="114"/>
      <c r="G10" s="114"/>
      <c r="H10" s="114"/>
      <c r="I10" s="114"/>
      <c r="J10" s="114"/>
      <c r="K10" s="114"/>
      <c r="L10" s="67" t="s">
        <v>293</v>
      </c>
      <c r="M10" s="125"/>
    </row>
    <row r="11" spans="1:13" s="28" customFormat="1" ht="17.25" customHeight="1">
      <c r="A11" s="68">
        <v>1</v>
      </c>
      <c r="B11" s="68">
        <v>2</v>
      </c>
      <c r="C11" s="69">
        <v>3</v>
      </c>
      <c r="D11" s="69">
        <v>4</v>
      </c>
      <c r="E11" s="69">
        <v>5</v>
      </c>
      <c r="F11" s="68">
        <v>6</v>
      </c>
      <c r="G11" s="68">
        <v>7</v>
      </c>
      <c r="H11" s="68">
        <v>8</v>
      </c>
      <c r="I11" s="68">
        <v>9</v>
      </c>
      <c r="J11" s="68">
        <v>10</v>
      </c>
      <c r="K11" s="68">
        <v>11</v>
      </c>
      <c r="L11" s="68">
        <v>12</v>
      </c>
      <c r="M11" s="68" t="s">
        <v>332</v>
      </c>
    </row>
    <row r="12" spans="1:14" ht="30.75" customHeight="1">
      <c r="A12" s="31" t="s">
        <v>137</v>
      </c>
      <c r="B12" s="30" t="s">
        <v>105</v>
      </c>
      <c r="C12" s="41">
        <f>SUM(C13:C30)</f>
        <v>5657.317040000001</v>
      </c>
      <c r="D12" s="41">
        <f>SUM(D13:D30)</f>
        <v>2993.5266399999996</v>
      </c>
      <c r="E12" s="41">
        <f>SUM(E13:E30)</f>
        <v>78.79513999999999</v>
      </c>
      <c r="F12" s="41">
        <f>G12+J12</f>
        <v>1053.615</v>
      </c>
      <c r="G12" s="41">
        <f aca="true" t="shared" si="0" ref="G12:L12">SUM(G13:G30)</f>
        <v>23.5</v>
      </c>
      <c r="H12" s="41">
        <f t="shared" si="0"/>
        <v>0</v>
      </c>
      <c r="I12" s="41">
        <f t="shared" si="0"/>
        <v>0</v>
      </c>
      <c r="J12" s="41">
        <f t="shared" si="0"/>
        <v>1030.115</v>
      </c>
      <c r="K12" s="41">
        <f t="shared" si="0"/>
        <v>1018.1149999999998</v>
      </c>
      <c r="L12" s="41">
        <f t="shared" si="0"/>
        <v>408.89000000000004</v>
      </c>
      <c r="M12" s="41">
        <f>C12+F12</f>
        <v>6710.932040000001</v>
      </c>
      <c r="N12" s="55"/>
    </row>
    <row r="13" spans="1:13" ht="42" customHeight="1">
      <c r="A13" s="4" t="s">
        <v>205</v>
      </c>
      <c r="B13" s="74" t="s">
        <v>177</v>
      </c>
      <c r="C13" s="42">
        <f>5381+129.09256-300-25-99.877-57.32</f>
        <v>5027.89556</v>
      </c>
      <c r="D13" s="42">
        <f>3009.7-46.697</f>
        <v>2963.0029999999997</v>
      </c>
      <c r="E13" s="42">
        <v>78.6</v>
      </c>
      <c r="F13" s="70">
        <f>G13+J13</f>
        <v>561.201</v>
      </c>
      <c r="G13" s="42">
        <v>23.5</v>
      </c>
      <c r="H13" s="42"/>
      <c r="I13" s="42"/>
      <c r="J13" s="42">
        <f>100+12+18.401+460+25-77.7</f>
        <v>537.701</v>
      </c>
      <c r="K13" s="42">
        <f>100+18.401+460+25-77.7</f>
        <v>525.7009999999999</v>
      </c>
      <c r="L13" s="42">
        <f>100+18.401+300+43.189+25-77.7</f>
        <v>408.89000000000004</v>
      </c>
      <c r="M13" s="71">
        <f>C13+F13</f>
        <v>5589.09656</v>
      </c>
    </row>
    <row r="14" spans="1:13" ht="60" customHeight="1">
      <c r="A14" s="4" t="s">
        <v>205</v>
      </c>
      <c r="B14" s="58" t="s">
        <v>179</v>
      </c>
      <c r="C14" s="32">
        <f>40+2.653-5</f>
        <v>37.653</v>
      </c>
      <c r="D14" s="32"/>
      <c r="E14" s="32"/>
      <c r="F14" s="70">
        <f aca="true" t="shared" si="1" ref="F14:F30">G14+J14</f>
        <v>0</v>
      </c>
      <c r="G14" s="94"/>
      <c r="H14" s="32"/>
      <c r="I14" s="32"/>
      <c r="J14" s="32"/>
      <c r="K14" s="32"/>
      <c r="L14" s="32"/>
      <c r="M14" s="32">
        <f aca="true" t="shared" si="2" ref="M14:M32">C14+F14</f>
        <v>37.653</v>
      </c>
    </row>
    <row r="15" spans="1:13" ht="52.5" customHeight="1">
      <c r="A15" s="4" t="s">
        <v>78</v>
      </c>
      <c r="B15" s="29" t="s">
        <v>83</v>
      </c>
      <c r="C15" s="32">
        <v>10</v>
      </c>
      <c r="D15" s="32"/>
      <c r="E15" s="32"/>
      <c r="F15" s="70">
        <f t="shared" si="1"/>
        <v>0</v>
      </c>
      <c r="G15" s="94"/>
      <c r="H15" s="32"/>
      <c r="I15" s="32"/>
      <c r="J15" s="32"/>
      <c r="K15" s="32"/>
      <c r="L15" s="32"/>
      <c r="M15" s="32">
        <f t="shared" si="2"/>
        <v>10</v>
      </c>
    </row>
    <row r="16" spans="1:13" ht="66.75" customHeight="1">
      <c r="A16" s="4" t="s">
        <v>170</v>
      </c>
      <c r="B16" s="74" t="s">
        <v>50</v>
      </c>
      <c r="C16" s="32">
        <v>380</v>
      </c>
      <c r="D16" s="32"/>
      <c r="E16" s="32"/>
      <c r="F16" s="70">
        <f t="shared" si="1"/>
        <v>0</v>
      </c>
      <c r="G16" s="94"/>
      <c r="H16" s="32"/>
      <c r="I16" s="32"/>
      <c r="J16" s="32"/>
      <c r="K16" s="32"/>
      <c r="L16" s="32"/>
      <c r="M16" s="32">
        <f t="shared" si="2"/>
        <v>380</v>
      </c>
    </row>
    <row r="17" spans="1:13" ht="79.5" customHeight="1">
      <c r="A17" s="4" t="s">
        <v>223</v>
      </c>
      <c r="B17" s="74" t="s">
        <v>275</v>
      </c>
      <c r="C17" s="32"/>
      <c r="D17" s="32"/>
      <c r="E17" s="32"/>
      <c r="F17" s="70">
        <f t="shared" si="1"/>
        <v>172.41399999999993</v>
      </c>
      <c r="G17" s="94"/>
      <c r="H17" s="32"/>
      <c r="I17" s="32"/>
      <c r="J17" s="32">
        <f>453.5+68.214-50-17-282.3</f>
        <v>172.41399999999993</v>
      </c>
      <c r="K17" s="32">
        <f>453.5+68.214-50-17-282.3</f>
        <v>172.41399999999993</v>
      </c>
      <c r="L17" s="32">
        <f>186-186</f>
        <v>0</v>
      </c>
      <c r="M17" s="32">
        <f t="shared" si="2"/>
        <v>172.41399999999993</v>
      </c>
    </row>
    <row r="18" spans="1:13" s="72" customFormat="1" ht="141" customHeight="1">
      <c r="A18" s="4" t="s">
        <v>223</v>
      </c>
      <c r="B18" s="98" t="s">
        <v>126</v>
      </c>
      <c r="C18" s="32"/>
      <c r="D18" s="32"/>
      <c r="E18" s="32"/>
      <c r="F18" s="70">
        <f t="shared" si="1"/>
        <v>320</v>
      </c>
      <c r="G18" s="32"/>
      <c r="H18" s="32"/>
      <c r="I18" s="32"/>
      <c r="J18" s="32">
        <f>330-10</f>
        <v>320</v>
      </c>
      <c r="K18" s="32">
        <f>330-10</f>
        <v>320</v>
      </c>
      <c r="L18" s="32"/>
      <c r="M18" s="71">
        <f t="shared" si="2"/>
        <v>320</v>
      </c>
    </row>
    <row r="19" spans="1:13" ht="48.75" customHeight="1" hidden="1">
      <c r="A19" s="4" t="s">
        <v>27</v>
      </c>
      <c r="B19" s="74" t="s">
        <v>61</v>
      </c>
      <c r="C19" s="32">
        <f>100-10-35-55</f>
        <v>0</v>
      </c>
      <c r="D19" s="32"/>
      <c r="E19" s="32"/>
      <c r="F19" s="70">
        <f t="shared" si="1"/>
        <v>0</v>
      </c>
      <c r="G19" s="94"/>
      <c r="H19" s="32"/>
      <c r="I19" s="32"/>
      <c r="J19" s="32"/>
      <c r="K19" s="32"/>
      <c r="L19" s="32"/>
      <c r="M19" s="32">
        <f t="shared" si="2"/>
        <v>0</v>
      </c>
    </row>
    <row r="20" spans="1:13" ht="76.5" customHeight="1">
      <c r="A20" s="4" t="s">
        <v>251</v>
      </c>
      <c r="B20" s="7" t="s">
        <v>31</v>
      </c>
      <c r="C20" s="32">
        <f>20+0.385-5-13</f>
        <v>2.3850000000000016</v>
      </c>
      <c r="D20" s="49"/>
      <c r="E20" s="49"/>
      <c r="F20" s="70">
        <f t="shared" si="1"/>
        <v>0</v>
      </c>
      <c r="G20" s="99"/>
      <c r="H20" s="49"/>
      <c r="I20" s="49"/>
      <c r="J20" s="49"/>
      <c r="K20" s="49"/>
      <c r="L20" s="49"/>
      <c r="M20" s="49">
        <f t="shared" si="2"/>
        <v>2.3850000000000016</v>
      </c>
    </row>
    <row r="21" spans="1:13" ht="87.75" customHeight="1">
      <c r="A21" s="4" t="s">
        <v>251</v>
      </c>
      <c r="B21" s="97" t="s">
        <v>32</v>
      </c>
      <c r="C21" s="32">
        <f>20+0.75847-5-10</f>
        <v>5.758469999999999</v>
      </c>
      <c r="D21" s="32"/>
      <c r="E21" s="32"/>
      <c r="F21" s="70">
        <f t="shared" si="1"/>
        <v>0</v>
      </c>
      <c r="G21" s="94"/>
      <c r="H21" s="32"/>
      <c r="I21" s="32"/>
      <c r="J21" s="32"/>
      <c r="K21" s="32"/>
      <c r="L21" s="32"/>
      <c r="M21" s="32">
        <f t="shared" si="2"/>
        <v>5.758469999999999</v>
      </c>
    </row>
    <row r="22" spans="1:13" ht="177" customHeight="1" hidden="1">
      <c r="A22" s="4" t="s">
        <v>251</v>
      </c>
      <c r="B22" s="10" t="s">
        <v>310</v>
      </c>
      <c r="C22" s="32"/>
      <c r="D22" s="32"/>
      <c r="E22" s="32"/>
      <c r="F22" s="70">
        <f t="shared" si="1"/>
        <v>0</v>
      </c>
      <c r="G22" s="94"/>
      <c r="H22" s="32"/>
      <c r="I22" s="32"/>
      <c r="J22" s="32"/>
      <c r="K22" s="32"/>
      <c r="L22" s="32"/>
      <c r="M22" s="32">
        <f t="shared" si="2"/>
        <v>0</v>
      </c>
    </row>
    <row r="23" spans="1:13" ht="84" customHeight="1">
      <c r="A23" s="4" t="s">
        <v>94</v>
      </c>
      <c r="B23" s="10" t="s">
        <v>130</v>
      </c>
      <c r="C23" s="32">
        <f>10-5</f>
        <v>5</v>
      </c>
      <c r="D23" s="32"/>
      <c r="E23" s="32"/>
      <c r="F23" s="70">
        <f t="shared" si="1"/>
        <v>0</v>
      </c>
      <c r="G23" s="94"/>
      <c r="H23" s="32"/>
      <c r="I23" s="32"/>
      <c r="J23" s="32"/>
      <c r="K23" s="32"/>
      <c r="L23" s="32"/>
      <c r="M23" s="32">
        <f t="shared" si="2"/>
        <v>5</v>
      </c>
    </row>
    <row r="24" spans="1:13" ht="35.25" customHeight="1" hidden="1">
      <c r="A24" s="4" t="s">
        <v>251</v>
      </c>
      <c r="B24" s="10" t="s">
        <v>100</v>
      </c>
      <c r="C24" s="32"/>
      <c r="D24" s="32"/>
      <c r="E24" s="32"/>
      <c r="F24" s="70">
        <f t="shared" si="1"/>
        <v>0</v>
      </c>
      <c r="G24" s="94"/>
      <c r="H24" s="32"/>
      <c r="I24" s="32"/>
      <c r="J24" s="32"/>
      <c r="K24" s="32"/>
      <c r="L24" s="32"/>
      <c r="M24" s="32">
        <f t="shared" si="2"/>
        <v>0</v>
      </c>
    </row>
    <row r="25" spans="1:13" ht="94.5" customHeight="1" hidden="1">
      <c r="A25" s="4" t="s">
        <v>12</v>
      </c>
      <c r="B25" s="8" t="s">
        <v>339</v>
      </c>
      <c r="C25" s="32"/>
      <c r="D25" s="32"/>
      <c r="E25" s="32"/>
      <c r="F25" s="70">
        <f t="shared" si="1"/>
        <v>0</v>
      </c>
      <c r="G25" s="32"/>
      <c r="H25" s="32"/>
      <c r="I25" s="32"/>
      <c r="J25" s="32"/>
      <c r="K25" s="32"/>
      <c r="L25" s="32"/>
      <c r="M25" s="32">
        <f t="shared" si="2"/>
        <v>0</v>
      </c>
    </row>
    <row r="26" spans="1:13" s="72" customFormat="1" ht="66" customHeight="1" hidden="1">
      <c r="A26" s="4" t="s">
        <v>157</v>
      </c>
      <c r="B26" s="7" t="s">
        <v>158</v>
      </c>
      <c r="C26" s="32"/>
      <c r="D26" s="32"/>
      <c r="E26" s="32"/>
      <c r="F26" s="70">
        <f t="shared" si="1"/>
        <v>0</v>
      </c>
      <c r="G26" s="32"/>
      <c r="H26" s="32"/>
      <c r="I26" s="32"/>
      <c r="J26" s="32"/>
      <c r="K26" s="32"/>
      <c r="L26" s="32"/>
      <c r="M26" s="32">
        <f t="shared" si="2"/>
        <v>0</v>
      </c>
    </row>
    <row r="27" spans="1:13" s="72" customFormat="1" ht="66" customHeight="1">
      <c r="A27" s="4" t="s">
        <v>157</v>
      </c>
      <c r="B27" s="7" t="s">
        <v>159</v>
      </c>
      <c r="C27" s="32">
        <f>67.5-4.94633</f>
        <v>62.55367</v>
      </c>
      <c r="D27" s="32">
        <f>32.8-2.27636</f>
        <v>30.523639999999997</v>
      </c>
      <c r="E27" s="50">
        <f>0.65-0.45486</f>
        <v>0.19514000000000004</v>
      </c>
      <c r="F27" s="70">
        <f t="shared" si="1"/>
        <v>0</v>
      </c>
      <c r="G27" s="32"/>
      <c r="H27" s="32"/>
      <c r="I27" s="32"/>
      <c r="J27" s="32"/>
      <c r="K27" s="32"/>
      <c r="L27" s="32"/>
      <c r="M27" s="32">
        <f t="shared" si="2"/>
        <v>62.55367</v>
      </c>
    </row>
    <row r="28" spans="1:13" s="72" customFormat="1" ht="102" customHeight="1" hidden="1">
      <c r="A28" s="4" t="s">
        <v>367</v>
      </c>
      <c r="B28" s="7" t="s">
        <v>81</v>
      </c>
      <c r="C28" s="32"/>
      <c r="D28" s="32"/>
      <c r="E28" s="32"/>
      <c r="F28" s="70">
        <f t="shared" si="1"/>
        <v>0</v>
      </c>
      <c r="G28" s="32"/>
      <c r="H28" s="32"/>
      <c r="I28" s="32"/>
      <c r="J28" s="32"/>
      <c r="K28" s="32"/>
      <c r="L28" s="32"/>
      <c r="M28" s="32">
        <f t="shared" si="2"/>
        <v>0</v>
      </c>
    </row>
    <row r="29" spans="1:13" ht="84.75" customHeight="1" hidden="1">
      <c r="A29" s="4" t="s">
        <v>48</v>
      </c>
      <c r="B29" s="8" t="s">
        <v>318</v>
      </c>
      <c r="C29" s="32"/>
      <c r="D29" s="32"/>
      <c r="E29" s="32"/>
      <c r="F29" s="70">
        <f t="shared" si="1"/>
        <v>0</v>
      </c>
      <c r="G29" s="32"/>
      <c r="H29" s="32"/>
      <c r="I29" s="32"/>
      <c r="J29" s="32"/>
      <c r="K29" s="32"/>
      <c r="L29" s="32"/>
      <c r="M29" s="32">
        <f t="shared" si="2"/>
        <v>0</v>
      </c>
    </row>
    <row r="30" spans="1:13" ht="31.5" customHeight="1">
      <c r="A30" s="4" t="s">
        <v>206</v>
      </c>
      <c r="B30" s="5" t="s">
        <v>13</v>
      </c>
      <c r="C30" s="50">
        <f>125+6.67134-5.6</f>
        <v>126.07133999999999</v>
      </c>
      <c r="D30" s="32"/>
      <c r="E30" s="32"/>
      <c r="F30" s="70">
        <f t="shared" si="1"/>
        <v>0</v>
      </c>
      <c r="G30" s="94"/>
      <c r="H30" s="32"/>
      <c r="I30" s="32"/>
      <c r="J30" s="32"/>
      <c r="K30" s="32"/>
      <c r="L30" s="32"/>
      <c r="M30" s="32">
        <f t="shared" si="2"/>
        <v>126.07133999999999</v>
      </c>
    </row>
    <row r="31" spans="1:14" ht="30.75" customHeight="1">
      <c r="A31" s="34" t="s">
        <v>138</v>
      </c>
      <c r="B31" s="35" t="s">
        <v>181</v>
      </c>
      <c r="C31" s="40">
        <f>SUM(C36:C50)+C33</f>
        <v>62410.13033000001</v>
      </c>
      <c r="D31" s="40">
        <f>SUM(D36:D50)+D33</f>
        <v>35778.365</v>
      </c>
      <c r="E31" s="40">
        <f>SUM(E36:E50)+E33</f>
        <v>5373.906</v>
      </c>
      <c r="F31" s="40">
        <f>G31+J31</f>
        <v>5994.041270000001</v>
      </c>
      <c r="G31" s="40">
        <f>SUM(G36:G53)+G33</f>
        <v>3714.8324000000002</v>
      </c>
      <c r="H31" s="40">
        <f>SUM(H36:H53)+H33</f>
        <v>404.042</v>
      </c>
      <c r="I31" s="40">
        <f>SUM(I36:I50)+I33</f>
        <v>46.656</v>
      </c>
      <c r="J31" s="40">
        <f>SUM(J36:J53)+J33</f>
        <v>2279.2088700000004</v>
      </c>
      <c r="K31" s="40">
        <f>SUM(K36:K50)+K33</f>
        <v>2076.63415</v>
      </c>
      <c r="L31" s="40">
        <f>SUM(L36:L50)+L33</f>
        <v>1560.98515</v>
      </c>
      <c r="M31" s="40">
        <f t="shared" si="2"/>
        <v>68404.1716</v>
      </c>
      <c r="N31" s="55" t="e">
        <f>M31-#REF!</f>
        <v>#REF!</v>
      </c>
    </row>
    <row r="32" spans="1:13" s="104" customFormat="1" ht="39.75" customHeight="1">
      <c r="A32" s="102"/>
      <c r="B32" s="53" t="s">
        <v>102</v>
      </c>
      <c r="C32" s="103"/>
      <c r="D32" s="103"/>
      <c r="E32" s="103"/>
      <c r="F32" s="103">
        <f>G32+J32</f>
        <v>432.05872</v>
      </c>
      <c r="G32" s="103">
        <f>G41</f>
        <v>153.972</v>
      </c>
      <c r="H32" s="103"/>
      <c r="I32" s="103"/>
      <c r="J32" s="103">
        <f>J37+J41+J49</f>
        <v>278.08672</v>
      </c>
      <c r="K32" s="103">
        <f>K49</f>
        <v>198</v>
      </c>
      <c r="L32" s="103">
        <f>L49</f>
        <v>198</v>
      </c>
      <c r="M32" s="103">
        <f t="shared" si="2"/>
        <v>432.05872</v>
      </c>
    </row>
    <row r="33" spans="1:13" ht="45.75" customHeight="1">
      <c r="A33" s="4" t="s">
        <v>205</v>
      </c>
      <c r="B33" s="74" t="s">
        <v>200</v>
      </c>
      <c r="C33" s="42">
        <f>649.9+5.3+5.987+1.6+4.8+2+42.051+5.254</f>
        <v>716.8919999999999</v>
      </c>
      <c r="D33" s="42">
        <f>426.167+27.1+2.2</f>
        <v>455.467</v>
      </c>
      <c r="E33" s="42">
        <f>6.607+2.8</f>
        <v>9.407</v>
      </c>
      <c r="F33" s="70">
        <f>G33+J33</f>
        <v>13.19</v>
      </c>
      <c r="G33" s="42"/>
      <c r="H33" s="42"/>
      <c r="I33" s="42"/>
      <c r="J33" s="42">
        <v>13.19</v>
      </c>
      <c r="K33" s="42">
        <v>13.19</v>
      </c>
      <c r="L33" s="42">
        <v>13.19</v>
      </c>
      <c r="M33" s="71">
        <f>C33+F33</f>
        <v>730.082</v>
      </c>
    </row>
    <row r="34" spans="1:13" ht="30.75" customHeight="1">
      <c r="A34" s="4" t="s">
        <v>207</v>
      </c>
      <c r="B34" s="29" t="s">
        <v>15</v>
      </c>
      <c r="C34" s="32">
        <f>SUM(C36:C50)</f>
        <v>61693.23833000001</v>
      </c>
      <c r="D34" s="32">
        <f aca="true" t="shared" si="3" ref="D34:L34">SUM(D36:D50)</f>
        <v>35322.898</v>
      </c>
      <c r="E34" s="32">
        <f t="shared" si="3"/>
        <v>5364.499</v>
      </c>
      <c r="F34" s="32">
        <f>G34+J34</f>
        <v>5980.851270000001</v>
      </c>
      <c r="G34" s="32">
        <f>SUM(G36:G53)</f>
        <v>3714.8324000000002</v>
      </c>
      <c r="H34" s="32">
        <f t="shared" si="3"/>
        <v>404.042</v>
      </c>
      <c r="I34" s="32">
        <f t="shared" si="3"/>
        <v>46.656</v>
      </c>
      <c r="J34" s="32">
        <f>SUM(J36:J53)</f>
        <v>2266.0188700000003</v>
      </c>
      <c r="K34" s="32">
        <f>SUM(K36:K50)</f>
        <v>2063.44415</v>
      </c>
      <c r="L34" s="32">
        <f t="shared" si="3"/>
        <v>1547.79515</v>
      </c>
      <c r="M34" s="32">
        <f>C34+F34</f>
        <v>67674.0896</v>
      </c>
    </row>
    <row r="35" spans="1:13" ht="24.75" customHeight="1">
      <c r="A35" s="4" t="s">
        <v>207</v>
      </c>
      <c r="B35" s="29" t="s">
        <v>118</v>
      </c>
      <c r="C35" s="32">
        <f>SUM(C36:C47)</f>
        <v>61417.56433000001</v>
      </c>
      <c r="D35" s="32">
        <f>SUM(D36:D47)</f>
        <v>35322.898</v>
      </c>
      <c r="E35" s="32">
        <f>SUM(E36:E47)</f>
        <v>5364.499</v>
      </c>
      <c r="F35" s="32">
        <f>G35+J35</f>
        <v>5777.46227</v>
      </c>
      <c r="G35" s="32">
        <f>SUM(G36:G53)</f>
        <v>3714.8324000000002</v>
      </c>
      <c r="H35" s="32">
        <f>SUM(H36:H47)</f>
        <v>404.042</v>
      </c>
      <c r="I35" s="32">
        <f>SUM(I36:I47)</f>
        <v>46.656</v>
      </c>
      <c r="J35" s="32">
        <f>SUM(J36:J47)</f>
        <v>2062.62987</v>
      </c>
      <c r="K35" s="32">
        <f>SUM(K36:K47)</f>
        <v>1860.05515</v>
      </c>
      <c r="L35" s="32">
        <f>SUM(L36:L47)</f>
        <v>1349.79515</v>
      </c>
      <c r="M35" s="32">
        <f>C35+F35</f>
        <v>67195.02660000001</v>
      </c>
    </row>
    <row r="36" spans="1:13" ht="29.25" customHeight="1">
      <c r="A36" s="4" t="s">
        <v>238</v>
      </c>
      <c r="B36" s="29" t="s">
        <v>294</v>
      </c>
      <c r="C36" s="32">
        <f>22299.139+29.16117-62.12-55.30299-26.23+2.01013+1.335+232.694</f>
        <v>22420.686309999997</v>
      </c>
      <c r="D36" s="32">
        <f>12072.083-69.351+153</f>
        <v>12155.732</v>
      </c>
      <c r="E36" s="32">
        <f>1727.014-13</f>
        <v>1714.014</v>
      </c>
      <c r="F36" s="32">
        <f aca="true" t="shared" si="4" ref="F36:F50">G36+J36</f>
        <v>3240.36448</v>
      </c>
      <c r="G36" s="42">
        <v>2083.613</v>
      </c>
      <c r="H36" s="42">
        <v>54.412</v>
      </c>
      <c r="I36" s="42">
        <v>0.489</v>
      </c>
      <c r="J36" s="42">
        <f>1349.05+19.248-93.67051-55.87601-38.7-43.3+20</f>
        <v>1156.7514800000001</v>
      </c>
      <c r="K36" s="42">
        <f>1349.05-93.67051-55.87601-38.7-43.3+20</f>
        <v>1137.50348</v>
      </c>
      <c r="L36" s="42">
        <f>1349.05-93.67051-55.87601-38.7-43.3-50-157.94-282.32</f>
        <v>627.2434800000001</v>
      </c>
      <c r="M36" s="32">
        <f aca="true" t="shared" si="5" ref="M36:M50">C36+F36</f>
        <v>25661.050789999998</v>
      </c>
    </row>
    <row r="37" spans="1:13" ht="41.25" customHeight="1">
      <c r="A37" s="4" t="s">
        <v>238</v>
      </c>
      <c r="B37" s="29" t="s">
        <v>271</v>
      </c>
      <c r="C37" s="32"/>
      <c r="D37" s="32"/>
      <c r="E37" s="32"/>
      <c r="F37" s="32">
        <f t="shared" si="4"/>
        <v>0.31044</v>
      </c>
      <c r="G37" s="42"/>
      <c r="H37" s="42"/>
      <c r="I37" s="42"/>
      <c r="J37" s="42">
        <f>0.31044</f>
        <v>0.31044</v>
      </c>
      <c r="K37" s="42"/>
      <c r="L37" s="42"/>
      <c r="M37" s="32">
        <f t="shared" si="5"/>
        <v>0.31044</v>
      </c>
    </row>
    <row r="38" spans="1:13" s="72" customFormat="1" ht="36.75" customHeight="1">
      <c r="A38" s="4" t="s">
        <v>238</v>
      </c>
      <c r="B38" s="29" t="s">
        <v>160</v>
      </c>
      <c r="C38" s="32">
        <v>1.514</v>
      </c>
      <c r="D38" s="32"/>
      <c r="E38" s="32"/>
      <c r="F38" s="70">
        <f>G38+J38</f>
        <v>38.391</v>
      </c>
      <c r="G38" s="42"/>
      <c r="H38" s="42"/>
      <c r="I38" s="42"/>
      <c r="J38" s="42">
        <v>38.391</v>
      </c>
      <c r="K38" s="42">
        <v>38.391</v>
      </c>
      <c r="L38" s="42">
        <v>38.391</v>
      </c>
      <c r="M38" s="71">
        <f>C38+F38</f>
        <v>39.905</v>
      </c>
    </row>
    <row r="39" spans="1:13" ht="50.25" customHeight="1">
      <c r="A39" s="4" t="s">
        <v>239</v>
      </c>
      <c r="B39" s="74" t="s">
        <v>295</v>
      </c>
      <c r="C39" s="32">
        <f>32031.173+135.36869+23.072+67.875-4.995-15.87+4.04687+169.463-111.19</f>
        <v>32298.94356</v>
      </c>
      <c r="D39" s="32">
        <f>18708.183-44</f>
        <v>18664.183</v>
      </c>
      <c r="E39" s="32">
        <v>3471.811</v>
      </c>
      <c r="F39" s="32">
        <f t="shared" si="4"/>
        <v>2204.59367</v>
      </c>
      <c r="G39" s="42">
        <v>1459.403</v>
      </c>
      <c r="H39" s="42">
        <v>349.63</v>
      </c>
      <c r="I39" s="42">
        <v>46.167</v>
      </c>
      <c r="J39" s="42">
        <f>204+101.39+318.28567+60+4.995+67.92+50-21.4-40</f>
        <v>745.19067</v>
      </c>
      <c r="K39" s="42">
        <f>204+318.28567+60+4.995+67.92+50-21.4-40</f>
        <v>643.80067</v>
      </c>
      <c r="L39" s="42">
        <f>204+318.28567+60+4.995+67.92+50-21.4-40</f>
        <v>643.80067</v>
      </c>
      <c r="M39" s="32">
        <f t="shared" si="5"/>
        <v>34503.53723</v>
      </c>
    </row>
    <row r="40" spans="1:13" ht="63" customHeight="1" hidden="1">
      <c r="A40" s="4" t="s">
        <v>239</v>
      </c>
      <c r="B40" s="74" t="s">
        <v>128</v>
      </c>
      <c r="C40" s="94"/>
      <c r="D40" s="94"/>
      <c r="E40" s="94"/>
      <c r="F40" s="32">
        <f t="shared" si="4"/>
        <v>0</v>
      </c>
      <c r="G40" s="44"/>
      <c r="H40" s="44"/>
      <c r="I40" s="44"/>
      <c r="J40" s="32"/>
      <c r="K40" s="32"/>
      <c r="L40" s="44"/>
      <c r="M40" s="32">
        <f t="shared" si="5"/>
        <v>0</v>
      </c>
    </row>
    <row r="41" spans="1:13" ht="66" customHeight="1">
      <c r="A41" s="4" t="s">
        <v>239</v>
      </c>
      <c r="B41" s="74" t="s">
        <v>329</v>
      </c>
      <c r="C41" s="32"/>
      <c r="D41" s="32"/>
      <c r="E41" s="32"/>
      <c r="F41" s="32">
        <f t="shared" si="4"/>
        <v>233.74828000000002</v>
      </c>
      <c r="G41" s="42">
        <v>153.972</v>
      </c>
      <c r="H41" s="42"/>
      <c r="I41" s="42"/>
      <c r="J41" s="32">
        <v>79.77628</v>
      </c>
      <c r="K41" s="32"/>
      <c r="L41" s="32"/>
      <c r="M41" s="32">
        <f t="shared" si="5"/>
        <v>233.74828000000002</v>
      </c>
    </row>
    <row r="42" spans="1:13" ht="66" customHeight="1">
      <c r="A42" s="4" t="s">
        <v>239</v>
      </c>
      <c r="B42" s="74" t="s">
        <v>301</v>
      </c>
      <c r="C42" s="32"/>
      <c r="D42" s="32"/>
      <c r="E42" s="32"/>
      <c r="F42" s="32">
        <f>G42+J42</f>
        <v>10</v>
      </c>
      <c r="G42" s="42"/>
      <c r="H42" s="42"/>
      <c r="I42" s="42"/>
      <c r="J42" s="32">
        <v>10</v>
      </c>
      <c r="K42" s="32">
        <v>10</v>
      </c>
      <c r="L42" s="32">
        <v>10</v>
      </c>
      <c r="M42" s="32">
        <f>C42+F42</f>
        <v>10</v>
      </c>
    </row>
    <row r="43" spans="1:13" ht="38.25" customHeight="1">
      <c r="A43" s="4" t="s">
        <v>240</v>
      </c>
      <c r="B43" s="74" t="s">
        <v>119</v>
      </c>
      <c r="C43" s="112">
        <f>3198.6+1.08+22.034+9.244-12.0055-10.637-132.806</f>
        <v>3075.5094999999997</v>
      </c>
      <c r="D43" s="32">
        <f>2262.945-103</f>
        <v>2159.945</v>
      </c>
      <c r="E43" s="32">
        <v>63.201</v>
      </c>
      <c r="F43" s="32">
        <f t="shared" si="4"/>
        <v>7.746</v>
      </c>
      <c r="G43" s="42">
        <v>5.896</v>
      </c>
      <c r="H43" s="42"/>
      <c r="I43" s="42"/>
      <c r="J43" s="42">
        <v>1.85</v>
      </c>
      <c r="K43" s="42"/>
      <c r="L43" s="42"/>
      <c r="M43" s="32">
        <f t="shared" si="5"/>
        <v>3083.2554999999998</v>
      </c>
    </row>
    <row r="44" spans="1:13" ht="28.5" customHeight="1">
      <c r="A44" s="4" t="s">
        <v>241</v>
      </c>
      <c r="B44" s="74" t="s">
        <v>120</v>
      </c>
      <c r="C44" s="32">
        <f>628.363+1.71-5+7-4.095</f>
        <v>627.9780000000001</v>
      </c>
      <c r="D44" s="32">
        <f>445.993-15</f>
        <v>430.993</v>
      </c>
      <c r="E44" s="32">
        <f>6.129+2</f>
        <v>8.129</v>
      </c>
      <c r="F44" s="32">
        <f t="shared" si="4"/>
        <v>9.98</v>
      </c>
      <c r="G44" s="42"/>
      <c r="H44" s="42"/>
      <c r="I44" s="42"/>
      <c r="J44" s="42">
        <v>9.98</v>
      </c>
      <c r="K44" s="42">
        <v>9.98</v>
      </c>
      <c r="L44" s="42">
        <v>9.98</v>
      </c>
      <c r="M44" s="32">
        <f t="shared" si="5"/>
        <v>637.9580000000001</v>
      </c>
    </row>
    <row r="45" spans="1:13" ht="45.75" customHeight="1">
      <c r="A45" s="4" t="s">
        <v>242</v>
      </c>
      <c r="B45" s="74" t="s">
        <v>296</v>
      </c>
      <c r="C45" s="32">
        <f>1099.337+1.23+4.82675+3.4+5.2+1.943+0.205+1.932</f>
        <v>1118.07375</v>
      </c>
      <c r="D45" s="32">
        <v>769.579</v>
      </c>
      <c r="E45" s="32">
        <f>12.986+5.2</f>
        <v>18.186</v>
      </c>
      <c r="F45" s="32">
        <f t="shared" si="4"/>
        <v>7.04</v>
      </c>
      <c r="G45" s="42"/>
      <c r="H45" s="42"/>
      <c r="I45" s="42"/>
      <c r="J45" s="42">
        <v>7.04</v>
      </c>
      <c r="K45" s="42">
        <v>7.04</v>
      </c>
      <c r="L45" s="42">
        <v>7.04</v>
      </c>
      <c r="M45" s="32">
        <f t="shared" si="5"/>
        <v>1125.11375</v>
      </c>
    </row>
    <row r="46" spans="1:13" ht="24" customHeight="1">
      <c r="A46" s="4" t="s">
        <v>243</v>
      </c>
      <c r="B46" s="74" t="s">
        <v>297</v>
      </c>
      <c r="C46" s="32">
        <f>786.245+30.62546+4.49025+0.34+5.3+2.0055+2.084+29.178</f>
        <v>860.2682099999998</v>
      </c>
      <c r="D46" s="32">
        <f>466.331+15</f>
        <v>481.331</v>
      </c>
      <c r="E46" s="32">
        <f>7.568+3</f>
        <v>10.568</v>
      </c>
      <c r="F46" s="32">
        <f t="shared" si="4"/>
        <v>13.34</v>
      </c>
      <c r="G46" s="42"/>
      <c r="H46" s="42"/>
      <c r="I46" s="42"/>
      <c r="J46" s="42">
        <v>13.34</v>
      </c>
      <c r="K46" s="42">
        <v>13.34</v>
      </c>
      <c r="L46" s="42">
        <v>13.34</v>
      </c>
      <c r="M46" s="32">
        <f t="shared" si="5"/>
        <v>873.6082099999999</v>
      </c>
    </row>
    <row r="47" spans="1:13" ht="49.5" customHeight="1">
      <c r="A47" s="4" t="s">
        <v>244</v>
      </c>
      <c r="B47" s="74" t="s">
        <v>287</v>
      </c>
      <c r="C47" s="32">
        <f>1045.153+0.9+0.47-31.932</f>
        <v>1014.5910000000001</v>
      </c>
      <c r="D47" s="32">
        <f>673.135-12</f>
        <v>661.135</v>
      </c>
      <c r="E47" s="32">
        <v>78.59</v>
      </c>
      <c r="F47" s="32">
        <f t="shared" si="4"/>
        <v>0</v>
      </c>
      <c r="G47" s="42"/>
      <c r="H47" s="42"/>
      <c r="I47" s="42"/>
      <c r="J47" s="42"/>
      <c r="K47" s="42"/>
      <c r="L47" s="32"/>
      <c r="M47" s="32">
        <f t="shared" si="5"/>
        <v>1014.5910000000001</v>
      </c>
    </row>
    <row r="48" spans="1:13" ht="48.75" customHeight="1">
      <c r="A48" s="4" t="s">
        <v>288</v>
      </c>
      <c r="B48" s="74" t="s">
        <v>186</v>
      </c>
      <c r="C48" s="32">
        <f>100+133.111+54-12.7-7.077</f>
        <v>267.334</v>
      </c>
      <c r="D48" s="32"/>
      <c r="E48" s="32"/>
      <c r="F48" s="32">
        <f>G48+J48</f>
        <v>5.389</v>
      </c>
      <c r="G48" s="44"/>
      <c r="H48" s="32"/>
      <c r="I48" s="32"/>
      <c r="J48" s="32">
        <v>5.389</v>
      </c>
      <c r="K48" s="32">
        <v>5.389</v>
      </c>
      <c r="L48" s="32"/>
      <c r="M48" s="32">
        <f t="shared" si="5"/>
        <v>272.723</v>
      </c>
    </row>
    <row r="49" spans="1:13" ht="144.75" customHeight="1">
      <c r="A49" s="113" t="s">
        <v>288</v>
      </c>
      <c r="B49" s="7" t="s">
        <v>20</v>
      </c>
      <c r="C49" s="48"/>
      <c r="D49" s="48"/>
      <c r="E49" s="48"/>
      <c r="F49" s="70">
        <f>G49+J49</f>
        <v>198</v>
      </c>
      <c r="G49" s="42"/>
      <c r="H49" s="42"/>
      <c r="I49" s="42"/>
      <c r="J49" s="42">
        <v>198</v>
      </c>
      <c r="K49" s="42">
        <v>198</v>
      </c>
      <c r="L49" s="42">
        <v>198</v>
      </c>
      <c r="M49" s="71">
        <f t="shared" si="5"/>
        <v>198</v>
      </c>
    </row>
    <row r="50" spans="1:13" ht="54" customHeight="1">
      <c r="A50" s="4" t="s">
        <v>260</v>
      </c>
      <c r="B50" s="74" t="s">
        <v>338</v>
      </c>
      <c r="C50" s="32">
        <f>7.24+1.1</f>
        <v>8.34</v>
      </c>
      <c r="D50" s="32"/>
      <c r="E50" s="43"/>
      <c r="F50" s="32">
        <f t="shared" si="4"/>
        <v>0</v>
      </c>
      <c r="G50" s="44"/>
      <c r="H50" s="32"/>
      <c r="I50" s="32"/>
      <c r="J50" s="32"/>
      <c r="K50" s="32"/>
      <c r="L50" s="32"/>
      <c r="M50" s="32">
        <f t="shared" si="5"/>
        <v>8.34</v>
      </c>
    </row>
    <row r="51" spans="1:13" ht="98.25" customHeight="1" hidden="1">
      <c r="A51" s="4" t="s">
        <v>12</v>
      </c>
      <c r="B51" s="100" t="s">
        <v>49</v>
      </c>
      <c r="C51" s="32"/>
      <c r="D51" s="32"/>
      <c r="E51" s="32"/>
      <c r="F51" s="32">
        <f>G51+J51</f>
        <v>0</v>
      </c>
      <c r="G51" s="94"/>
      <c r="H51" s="32"/>
      <c r="I51" s="32"/>
      <c r="J51" s="32"/>
      <c r="K51" s="32"/>
      <c r="L51" s="32"/>
      <c r="M51" s="32">
        <f aca="true" t="shared" si="6" ref="M51:M62">C51+F51</f>
        <v>0</v>
      </c>
    </row>
    <row r="52" spans="1:13" ht="98.25" customHeight="1">
      <c r="A52" s="4" t="s">
        <v>12</v>
      </c>
      <c r="B52" s="29" t="s">
        <v>363</v>
      </c>
      <c r="C52" s="32"/>
      <c r="D52" s="32"/>
      <c r="E52" s="32"/>
      <c r="F52" s="32">
        <f>G52+J52</f>
        <v>11.9484</v>
      </c>
      <c r="G52" s="32">
        <v>11.9484</v>
      </c>
      <c r="H52" s="32"/>
      <c r="I52" s="32"/>
      <c r="J52" s="32"/>
      <c r="K52" s="32"/>
      <c r="L52" s="32"/>
      <c r="M52" s="32">
        <f t="shared" si="6"/>
        <v>11.9484</v>
      </c>
    </row>
    <row r="53" spans="1:13" ht="63.75" customHeight="1" hidden="1">
      <c r="A53" s="4" t="s">
        <v>12</v>
      </c>
      <c r="B53" s="10" t="s">
        <v>9</v>
      </c>
      <c r="C53" s="32"/>
      <c r="D53" s="32"/>
      <c r="E53" s="43"/>
      <c r="F53" s="32">
        <f>G53+J53</f>
        <v>0</v>
      </c>
      <c r="G53" s="94"/>
      <c r="H53" s="32"/>
      <c r="I53" s="32"/>
      <c r="J53" s="32"/>
      <c r="K53" s="32"/>
      <c r="L53" s="32"/>
      <c r="M53" s="32">
        <f t="shared" si="6"/>
        <v>0</v>
      </c>
    </row>
    <row r="54" spans="1:41" ht="47.25" customHeight="1">
      <c r="A54" s="34" t="s">
        <v>139</v>
      </c>
      <c r="B54" s="35" t="s">
        <v>106</v>
      </c>
      <c r="C54" s="40">
        <f>C56+C57+C58+C72+C80+C120+C133+C137+C155+C142+C141</f>
        <v>39013.28573</v>
      </c>
      <c r="D54" s="40">
        <f aca="true" t="shared" si="7" ref="D54:L54">D56+D57+D58+D72+D80+D120+D133+D137+D155+D142</f>
        <v>2115.95</v>
      </c>
      <c r="E54" s="40">
        <f t="shared" si="7"/>
        <v>112.30000000000001</v>
      </c>
      <c r="F54" s="40">
        <f t="shared" si="7"/>
        <v>634.02225</v>
      </c>
      <c r="G54" s="40">
        <f t="shared" si="7"/>
        <v>71.92</v>
      </c>
      <c r="H54" s="40">
        <f t="shared" si="7"/>
        <v>0</v>
      </c>
      <c r="I54" s="40">
        <f t="shared" si="7"/>
        <v>0</v>
      </c>
      <c r="J54" s="40">
        <f t="shared" si="7"/>
        <v>562.10225</v>
      </c>
      <c r="K54" s="40">
        <f t="shared" si="7"/>
        <v>419.5834</v>
      </c>
      <c r="L54" s="40">
        <f t="shared" si="7"/>
        <v>85.26339999999999</v>
      </c>
      <c r="M54" s="40">
        <f>M56+M57+M58+M72+M80+M120+M133+M137+M155+M142+M141</f>
        <v>39647.307980000005</v>
      </c>
      <c r="N54" s="106">
        <f>C54+F54</f>
        <v>39647.307980000005</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1" s="104" customFormat="1" ht="37.5">
      <c r="A55" s="102"/>
      <c r="B55" s="53" t="s">
        <v>102</v>
      </c>
      <c r="C55" s="103">
        <f>C57+C59+C60+C61+C62+C66+C67+C68+C70+C71+C73+C74+C75+C76+C77+C78+C79+C81+C82+C83+C134+C139+C140+C108</f>
        <v>33381.946</v>
      </c>
      <c r="D55" s="103">
        <f>D57+D59+D60+D61+D62+D66+D67+D68+D70+D71+D73+D74+D75+D76+D77+D78+D79+D81+D82+D83+D134+D139+D140</f>
        <v>0</v>
      </c>
      <c r="E55" s="103">
        <f>E57+E59+E60+E61+E62+E66+E67+E68+E70+E71+E73+E74+E75+E76+E77+E78+E79+E81+E82+E83+E134+E139+E140</f>
        <v>0</v>
      </c>
      <c r="F55" s="103">
        <f aca="true" t="shared" si="8" ref="F55:F62">G55+J55</f>
        <v>136.23885</v>
      </c>
      <c r="G55" s="103">
        <f aca="true" t="shared" si="9" ref="G55:L55">G57+G59+G60+G61+G62+G66+G67+G68+G70+G71+G73+G74+G75+G76+G77+G78+G79+G81+G82+G83+G134+G139+G140+G122</f>
        <v>0</v>
      </c>
      <c r="H55" s="103">
        <f t="shared" si="9"/>
        <v>0</v>
      </c>
      <c r="I55" s="103">
        <f t="shared" si="9"/>
        <v>0</v>
      </c>
      <c r="J55" s="103">
        <f t="shared" si="9"/>
        <v>136.23885</v>
      </c>
      <c r="K55" s="103">
        <f t="shared" si="9"/>
        <v>0</v>
      </c>
      <c r="L55" s="103">
        <f t="shared" si="9"/>
        <v>0</v>
      </c>
      <c r="M55" s="103">
        <f>C55+F55</f>
        <v>33518.184850000005</v>
      </c>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row>
    <row r="56" spans="1:13" ht="67.5" customHeight="1">
      <c r="A56" s="4" t="s">
        <v>205</v>
      </c>
      <c r="B56" s="8" t="s">
        <v>134</v>
      </c>
      <c r="C56" s="32">
        <f>1834.1+4.52908-17.5-10</f>
        <v>1811.12908</v>
      </c>
      <c r="D56" s="32">
        <f>1157.52-20</f>
        <v>1137.52</v>
      </c>
      <c r="E56" s="32">
        <f>81.9+0.5</f>
        <v>82.4</v>
      </c>
      <c r="F56" s="32">
        <f t="shared" si="8"/>
        <v>3</v>
      </c>
      <c r="G56" s="44"/>
      <c r="H56" s="32"/>
      <c r="I56" s="32"/>
      <c r="J56" s="32">
        <v>3</v>
      </c>
      <c r="K56" s="32">
        <v>3</v>
      </c>
      <c r="L56" s="32"/>
      <c r="M56" s="32">
        <f t="shared" si="6"/>
        <v>1814.12908</v>
      </c>
    </row>
    <row r="57" spans="1:13" ht="49.5" customHeight="1">
      <c r="A57" s="4" t="s">
        <v>342</v>
      </c>
      <c r="B57" s="2" t="s">
        <v>103</v>
      </c>
      <c r="C57" s="32">
        <f>230.5+0.172+24.274</f>
        <v>254.946</v>
      </c>
      <c r="D57" s="32"/>
      <c r="E57" s="32"/>
      <c r="F57" s="32">
        <f t="shared" si="8"/>
        <v>0</v>
      </c>
      <c r="G57" s="94"/>
      <c r="H57" s="32"/>
      <c r="I57" s="32"/>
      <c r="J57" s="32"/>
      <c r="K57" s="32"/>
      <c r="L57" s="32"/>
      <c r="M57" s="32">
        <f t="shared" si="6"/>
        <v>254.946</v>
      </c>
    </row>
    <row r="58" spans="1:13" ht="32.25" customHeight="1">
      <c r="A58" s="4" t="s">
        <v>279</v>
      </c>
      <c r="B58" s="5" t="s">
        <v>280</v>
      </c>
      <c r="C58" s="32">
        <f>SUM(C59:C71)</f>
        <v>3642.1720000000005</v>
      </c>
      <c r="D58" s="32">
        <f>SUM(D59:D71)</f>
        <v>0</v>
      </c>
      <c r="E58" s="32">
        <f>SUM(E59:E71)</f>
        <v>0</v>
      </c>
      <c r="F58" s="32">
        <f t="shared" si="8"/>
        <v>0</v>
      </c>
      <c r="G58" s="32">
        <f aca="true" t="shared" si="10" ref="G58:L58">SUM(G59:G71)</f>
        <v>0</v>
      </c>
      <c r="H58" s="32">
        <f t="shared" si="10"/>
        <v>0</v>
      </c>
      <c r="I58" s="32">
        <f t="shared" si="10"/>
        <v>0</v>
      </c>
      <c r="J58" s="32">
        <f t="shared" si="10"/>
        <v>0</v>
      </c>
      <c r="K58" s="32">
        <f t="shared" si="10"/>
        <v>0</v>
      </c>
      <c r="L58" s="32">
        <f t="shared" si="10"/>
        <v>0</v>
      </c>
      <c r="M58" s="32">
        <f t="shared" si="6"/>
        <v>3642.1720000000005</v>
      </c>
    </row>
    <row r="59" spans="1:13" ht="247.5" customHeight="1">
      <c r="A59" s="4" t="s">
        <v>229</v>
      </c>
      <c r="B59" s="5" t="s">
        <v>16</v>
      </c>
      <c r="C59" s="32">
        <v>1600</v>
      </c>
      <c r="D59" s="32"/>
      <c r="E59" s="32"/>
      <c r="F59" s="32">
        <f t="shared" si="8"/>
        <v>0</v>
      </c>
      <c r="G59" s="94"/>
      <c r="H59" s="32"/>
      <c r="I59" s="32"/>
      <c r="J59" s="32"/>
      <c r="K59" s="32"/>
      <c r="L59" s="32"/>
      <c r="M59" s="32">
        <f t="shared" si="6"/>
        <v>1600</v>
      </c>
    </row>
    <row r="60" spans="1:13" ht="229.5" customHeight="1">
      <c r="A60" s="4" t="s">
        <v>230</v>
      </c>
      <c r="B60" s="5" t="s">
        <v>22</v>
      </c>
      <c r="C60" s="32">
        <f>2+0.518+0.0022</f>
        <v>2.5202</v>
      </c>
      <c r="D60" s="32"/>
      <c r="E60" s="32"/>
      <c r="F60" s="32">
        <f t="shared" si="8"/>
        <v>0</v>
      </c>
      <c r="G60" s="94"/>
      <c r="H60" s="32"/>
      <c r="I60" s="32"/>
      <c r="J60" s="32"/>
      <c r="K60" s="32"/>
      <c r="L60" s="32"/>
      <c r="M60" s="32">
        <f t="shared" si="6"/>
        <v>2.5202</v>
      </c>
    </row>
    <row r="61" spans="1:13" ht="270" customHeight="1">
      <c r="A61" s="4" t="s">
        <v>231</v>
      </c>
      <c r="B61" s="5" t="s">
        <v>42</v>
      </c>
      <c r="C61" s="32">
        <f>16+2</f>
        <v>18</v>
      </c>
      <c r="D61" s="32"/>
      <c r="E61" s="32"/>
      <c r="F61" s="32">
        <f t="shared" si="8"/>
        <v>0</v>
      </c>
      <c r="G61" s="94"/>
      <c r="H61" s="32"/>
      <c r="I61" s="32"/>
      <c r="J61" s="32"/>
      <c r="K61" s="32"/>
      <c r="L61" s="32"/>
      <c r="M61" s="32">
        <f t="shared" si="6"/>
        <v>18</v>
      </c>
    </row>
    <row r="62" spans="1:13" ht="324.75" customHeight="1">
      <c r="A62" s="128" t="s">
        <v>232</v>
      </c>
      <c r="B62" s="107" t="s">
        <v>348</v>
      </c>
      <c r="C62" s="130">
        <v>396.8</v>
      </c>
      <c r="D62" s="122"/>
      <c r="E62" s="122"/>
      <c r="F62" s="122">
        <f t="shared" si="8"/>
        <v>0</v>
      </c>
      <c r="G62" s="126"/>
      <c r="H62" s="122"/>
      <c r="I62" s="122"/>
      <c r="J62" s="122"/>
      <c r="K62" s="122"/>
      <c r="L62" s="45"/>
      <c r="M62" s="122">
        <f t="shared" si="6"/>
        <v>396.8</v>
      </c>
    </row>
    <row r="63" spans="1:13" ht="358.5" customHeight="1">
      <c r="A63" s="129"/>
      <c r="B63" s="108" t="s">
        <v>361</v>
      </c>
      <c r="C63" s="131"/>
      <c r="D63" s="123"/>
      <c r="E63" s="123"/>
      <c r="F63" s="123"/>
      <c r="G63" s="127"/>
      <c r="H63" s="123"/>
      <c r="I63" s="123"/>
      <c r="J63" s="123"/>
      <c r="K63" s="123"/>
      <c r="L63" s="46"/>
      <c r="M63" s="123"/>
    </row>
    <row r="64" spans="1:13" s="36" customFormat="1" ht="33" customHeight="1" hidden="1">
      <c r="A64" s="4" t="s">
        <v>262</v>
      </c>
      <c r="B64" s="12" t="s">
        <v>0</v>
      </c>
      <c r="C64" s="94"/>
      <c r="D64" s="95"/>
      <c r="E64" s="95"/>
      <c r="F64" s="32">
        <f>G64+J62</f>
        <v>0</v>
      </c>
      <c r="G64" s="94"/>
      <c r="H64" s="95"/>
      <c r="I64" s="95"/>
      <c r="J64" s="95"/>
      <c r="K64" s="95"/>
      <c r="L64" s="95"/>
      <c r="M64" s="94">
        <f aca="true" t="shared" si="11" ref="M64:M80">C64+F64</f>
        <v>0</v>
      </c>
    </row>
    <row r="65" spans="1:13" s="36" customFormat="1" ht="9.75" customHeight="1" hidden="1">
      <c r="A65" s="4" t="s">
        <v>250</v>
      </c>
      <c r="B65" s="5" t="s">
        <v>1</v>
      </c>
      <c r="C65" s="94"/>
      <c r="D65" s="95"/>
      <c r="E65" s="95"/>
      <c r="F65" s="32">
        <f>G65+J65</f>
        <v>0</v>
      </c>
      <c r="G65" s="94"/>
      <c r="H65" s="95"/>
      <c r="I65" s="95"/>
      <c r="J65" s="95"/>
      <c r="K65" s="95"/>
      <c r="L65" s="95"/>
      <c r="M65" s="94">
        <f t="shared" si="11"/>
        <v>0</v>
      </c>
    </row>
    <row r="66" spans="1:13" ht="123.75" customHeight="1">
      <c r="A66" s="4" t="s">
        <v>248</v>
      </c>
      <c r="B66" s="5" t="s">
        <v>148</v>
      </c>
      <c r="C66" s="32">
        <v>1000</v>
      </c>
      <c r="D66" s="32"/>
      <c r="E66" s="32"/>
      <c r="F66" s="32">
        <f>G66+J66</f>
        <v>0</v>
      </c>
      <c r="G66" s="94"/>
      <c r="H66" s="32"/>
      <c r="I66" s="32"/>
      <c r="J66" s="32"/>
      <c r="K66" s="32"/>
      <c r="L66" s="32"/>
      <c r="M66" s="32">
        <f t="shared" si="11"/>
        <v>1000</v>
      </c>
    </row>
    <row r="67" spans="1:13" ht="120" customHeight="1">
      <c r="A67" s="4" t="s">
        <v>263</v>
      </c>
      <c r="B67" s="5" t="s">
        <v>150</v>
      </c>
      <c r="C67" s="32">
        <f>0.5-0.0022</f>
        <v>0.4978</v>
      </c>
      <c r="D67" s="32"/>
      <c r="E67" s="32"/>
      <c r="F67" s="32">
        <f aca="true" t="shared" si="12" ref="F67:F133">G67+J67</f>
        <v>0</v>
      </c>
      <c r="G67" s="94"/>
      <c r="H67" s="32"/>
      <c r="I67" s="32"/>
      <c r="J67" s="32"/>
      <c r="K67" s="32"/>
      <c r="L67" s="32"/>
      <c r="M67" s="32">
        <f t="shared" si="11"/>
        <v>0.4978</v>
      </c>
    </row>
    <row r="68" spans="1:13" ht="101.25" customHeight="1">
      <c r="A68" s="4" t="s">
        <v>227</v>
      </c>
      <c r="B68" s="5" t="s">
        <v>151</v>
      </c>
      <c r="C68" s="32">
        <f>30+2.5</f>
        <v>32.5</v>
      </c>
      <c r="D68" s="32"/>
      <c r="E68" s="32"/>
      <c r="F68" s="32">
        <f t="shared" si="12"/>
        <v>0</v>
      </c>
      <c r="G68" s="94"/>
      <c r="H68" s="32"/>
      <c r="I68" s="32"/>
      <c r="J68" s="32"/>
      <c r="K68" s="32"/>
      <c r="L68" s="32"/>
      <c r="M68" s="32">
        <f t="shared" si="11"/>
        <v>32.5</v>
      </c>
    </row>
    <row r="69" spans="1:13" ht="63" customHeight="1">
      <c r="A69" s="4" t="s">
        <v>290</v>
      </c>
      <c r="B69" s="5" t="s">
        <v>152</v>
      </c>
      <c r="C69" s="32">
        <f>165.3+7</f>
        <v>172.3</v>
      </c>
      <c r="D69" s="32"/>
      <c r="E69" s="32"/>
      <c r="F69" s="32">
        <f t="shared" si="12"/>
        <v>0</v>
      </c>
      <c r="G69" s="94"/>
      <c r="H69" s="32"/>
      <c r="I69" s="32"/>
      <c r="J69" s="32"/>
      <c r="K69" s="32"/>
      <c r="L69" s="32"/>
      <c r="M69" s="32">
        <f t="shared" si="11"/>
        <v>172.3</v>
      </c>
    </row>
    <row r="70" spans="1:13" ht="47.25" customHeight="1">
      <c r="A70" s="4" t="s">
        <v>7</v>
      </c>
      <c r="B70" s="5" t="s">
        <v>173</v>
      </c>
      <c r="C70" s="32">
        <f>215+5-74.946+54.5</f>
        <v>199.554</v>
      </c>
      <c r="D70" s="32"/>
      <c r="E70" s="32"/>
      <c r="F70" s="32">
        <f t="shared" si="12"/>
        <v>0</v>
      </c>
      <c r="G70" s="94"/>
      <c r="H70" s="32"/>
      <c r="I70" s="32"/>
      <c r="J70" s="32"/>
      <c r="K70" s="32"/>
      <c r="L70" s="32"/>
      <c r="M70" s="32">
        <f t="shared" si="11"/>
        <v>199.554</v>
      </c>
    </row>
    <row r="71" spans="1:13" ht="153" customHeight="1">
      <c r="A71" s="4" t="s">
        <v>117</v>
      </c>
      <c r="B71" s="5" t="s">
        <v>343</v>
      </c>
      <c r="C71" s="32">
        <v>220</v>
      </c>
      <c r="D71" s="32"/>
      <c r="E71" s="32"/>
      <c r="F71" s="32">
        <f t="shared" si="12"/>
        <v>0</v>
      </c>
      <c r="G71" s="94"/>
      <c r="H71" s="32"/>
      <c r="I71" s="32"/>
      <c r="J71" s="32"/>
      <c r="K71" s="32"/>
      <c r="L71" s="32"/>
      <c r="M71" s="32">
        <f t="shared" si="11"/>
        <v>220</v>
      </c>
    </row>
    <row r="72" spans="1:13" ht="27.75" customHeight="1">
      <c r="A72" s="4" t="s">
        <v>281</v>
      </c>
      <c r="B72" s="5" t="s">
        <v>282</v>
      </c>
      <c r="C72" s="32">
        <f>SUM(C73:C79)</f>
        <v>24576.229440000003</v>
      </c>
      <c r="D72" s="32">
        <f aca="true" t="shared" si="13" ref="D72:L72">SUM(D73:D79)</f>
        <v>0</v>
      </c>
      <c r="E72" s="32">
        <f t="shared" si="13"/>
        <v>0</v>
      </c>
      <c r="F72" s="32">
        <f t="shared" si="12"/>
        <v>0</v>
      </c>
      <c r="G72" s="32">
        <f t="shared" si="13"/>
        <v>0</v>
      </c>
      <c r="H72" s="32">
        <f t="shared" si="13"/>
        <v>0</v>
      </c>
      <c r="I72" s="32">
        <f t="shared" si="13"/>
        <v>0</v>
      </c>
      <c r="J72" s="32">
        <f t="shared" si="13"/>
        <v>0</v>
      </c>
      <c r="K72" s="32">
        <f t="shared" si="13"/>
        <v>0</v>
      </c>
      <c r="L72" s="32">
        <f t="shared" si="13"/>
        <v>0</v>
      </c>
      <c r="M72" s="32">
        <f t="shared" si="11"/>
        <v>24576.229440000003</v>
      </c>
    </row>
    <row r="73" spans="1:13" ht="44.25" customHeight="1">
      <c r="A73" s="4" t="s">
        <v>233</v>
      </c>
      <c r="B73" s="8" t="s">
        <v>153</v>
      </c>
      <c r="C73" s="32">
        <f>300-10.864</f>
        <v>289.136</v>
      </c>
      <c r="D73" s="32"/>
      <c r="E73" s="32"/>
      <c r="F73" s="32">
        <f t="shared" si="12"/>
        <v>0</v>
      </c>
      <c r="G73" s="94"/>
      <c r="H73" s="32"/>
      <c r="I73" s="32"/>
      <c r="J73" s="32"/>
      <c r="K73" s="32"/>
      <c r="L73" s="32"/>
      <c r="M73" s="32">
        <f t="shared" si="11"/>
        <v>289.136</v>
      </c>
    </row>
    <row r="74" spans="1:13" ht="43.5" customHeight="1">
      <c r="A74" s="4" t="s">
        <v>234</v>
      </c>
      <c r="B74" s="8" t="s">
        <v>164</v>
      </c>
      <c r="C74" s="32">
        <f>4320-23.431-21.646</f>
        <v>4274.923000000001</v>
      </c>
      <c r="D74" s="32"/>
      <c r="E74" s="32"/>
      <c r="F74" s="32">
        <f t="shared" si="12"/>
        <v>0</v>
      </c>
      <c r="G74" s="94"/>
      <c r="H74" s="32"/>
      <c r="I74" s="32"/>
      <c r="J74" s="32"/>
      <c r="K74" s="32"/>
      <c r="L74" s="32"/>
      <c r="M74" s="32">
        <f t="shared" si="11"/>
        <v>4274.923000000001</v>
      </c>
    </row>
    <row r="75" spans="1:13" ht="39" customHeight="1">
      <c r="A75" s="4" t="s">
        <v>235</v>
      </c>
      <c r="B75" s="8" t="s">
        <v>11</v>
      </c>
      <c r="C75" s="48">
        <f>15485.2-37.478-69.044+27.87609-90.01551</f>
        <v>15316.538580000002</v>
      </c>
      <c r="D75" s="32"/>
      <c r="E75" s="32"/>
      <c r="F75" s="32">
        <f t="shared" si="12"/>
        <v>0</v>
      </c>
      <c r="G75" s="94"/>
      <c r="H75" s="32"/>
      <c r="I75" s="32"/>
      <c r="J75" s="32"/>
      <c r="K75" s="32"/>
      <c r="L75" s="32"/>
      <c r="M75" s="32">
        <f t="shared" si="11"/>
        <v>15316.538580000002</v>
      </c>
    </row>
    <row r="76" spans="1:13" ht="51.75" customHeight="1">
      <c r="A76" s="4" t="s">
        <v>236</v>
      </c>
      <c r="B76" s="8" t="s">
        <v>104</v>
      </c>
      <c r="C76" s="32">
        <f>1800-8.7+6.058-11.97101</f>
        <v>1785.38699</v>
      </c>
      <c r="D76" s="32"/>
      <c r="E76" s="32"/>
      <c r="F76" s="32">
        <f t="shared" si="12"/>
        <v>0</v>
      </c>
      <c r="G76" s="94"/>
      <c r="H76" s="32"/>
      <c r="I76" s="32"/>
      <c r="J76" s="32"/>
      <c r="K76" s="32"/>
      <c r="L76" s="32"/>
      <c r="M76" s="32">
        <f t="shared" si="11"/>
        <v>1785.38699</v>
      </c>
    </row>
    <row r="77" spans="1:13" ht="47.25" customHeight="1">
      <c r="A77" s="4" t="s">
        <v>237</v>
      </c>
      <c r="B77" s="5" t="s">
        <v>174</v>
      </c>
      <c r="C77" s="32">
        <f>2400-43.856</f>
        <v>2356.144</v>
      </c>
      <c r="D77" s="32"/>
      <c r="E77" s="32"/>
      <c r="F77" s="32">
        <f t="shared" si="12"/>
        <v>0</v>
      </c>
      <c r="G77" s="94"/>
      <c r="H77" s="32"/>
      <c r="I77" s="32"/>
      <c r="J77" s="32"/>
      <c r="K77" s="32"/>
      <c r="L77" s="32"/>
      <c r="M77" s="32">
        <f t="shared" si="11"/>
        <v>2356.144</v>
      </c>
    </row>
    <row r="78" spans="1:13" ht="43.5" customHeight="1">
      <c r="A78" s="4" t="s">
        <v>264</v>
      </c>
      <c r="B78" s="5" t="s">
        <v>175</v>
      </c>
      <c r="C78" s="32">
        <f>530.9-34.27</f>
        <v>496.63</v>
      </c>
      <c r="D78" s="32"/>
      <c r="E78" s="32"/>
      <c r="F78" s="32">
        <f t="shared" si="12"/>
        <v>0</v>
      </c>
      <c r="G78" s="94"/>
      <c r="H78" s="32"/>
      <c r="I78" s="32"/>
      <c r="J78" s="32"/>
      <c r="K78" s="32"/>
      <c r="L78" s="32"/>
      <c r="M78" s="32">
        <f t="shared" si="11"/>
        <v>496.63</v>
      </c>
    </row>
    <row r="79" spans="1:13" ht="39" customHeight="1">
      <c r="A79" s="4" t="s">
        <v>110</v>
      </c>
      <c r="B79" s="8" t="s">
        <v>113</v>
      </c>
      <c r="C79" s="32">
        <f>30.8+11.311+0.805+1.944+10.9967+1.61417</f>
        <v>57.470870000000005</v>
      </c>
      <c r="D79" s="32"/>
      <c r="E79" s="32"/>
      <c r="F79" s="32">
        <f t="shared" si="12"/>
        <v>0</v>
      </c>
      <c r="G79" s="94"/>
      <c r="H79" s="32"/>
      <c r="I79" s="32"/>
      <c r="J79" s="32"/>
      <c r="K79" s="32"/>
      <c r="L79" s="32"/>
      <c r="M79" s="32">
        <f t="shared" si="11"/>
        <v>57.470870000000005</v>
      </c>
    </row>
    <row r="80" spans="1:13" ht="24" customHeight="1">
      <c r="A80" s="4" t="s">
        <v>283</v>
      </c>
      <c r="B80" s="5" t="s">
        <v>284</v>
      </c>
      <c r="C80" s="32">
        <f>SUM(C81:C119)</f>
        <v>2820.3103899999996</v>
      </c>
      <c r="D80" s="32">
        <f>D81+D82+D83+D84+D105+D107+D109+D110+D119+D106</f>
        <v>0</v>
      </c>
      <c r="E80" s="32">
        <f>E81+E82+E83+E84+E105+E107+E109+E110+E119+E106</f>
        <v>0</v>
      </c>
      <c r="F80" s="32">
        <f t="shared" si="12"/>
        <v>0</v>
      </c>
      <c r="G80" s="32">
        <f>G81+G82+G83+G84+G105+G107+G109+G110+G119+G106</f>
        <v>0</v>
      </c>
      <c r="H80" s="32">
        <f>H81+H82+H83+H84+H105+H107+H109+H110+H119+H106</f>
        <v>0</v>
      </c>
      <c r="I80" s="32">
        <f>I81+I82+I83+I87+I105+I107+I109+I110+I119+I106</f>
        <v>0</v>
      </c>
      <c r="J80" s="32">
        <f>J81+J82+J83+J87+J105+J107+J109+J110+J119+J106</f>
        <v>0</v>
      </c>
      <c r="K80" s="32">
        <f>K81+K82+K83+K87+K105+K107+K109+K110+K119+K106</f>
        <v>0</v>
      </c>
      <c r="L80" s="32">
        <f>L81+L82+L83+L87+L105+L107+L109+L110+L119+L106</f>
        <v>0</v>
      </c>
      <c r="M80" s="32">
        <f t="shared" si="11"/>
        <v>2820.3103899999996</v>
      </c>
    </row>
    <row r="81" spans="1:13" ht="52.5" customHeight="1">
      <c r="A81" s="4" t="s">
        <v>212</v>
      </c>
      <c r="B81" s="5" t="s">
        <v>176</v>
      </c>
      <c r="C81" s="32">
        <f>768.7+26.167+22.626+75.8+76.64821+100.37235</f>
        <v>1070.31356</v>
      </c>
      <c r="D81" s="32"/>
      <c r="E81" s="32"/>
      <c r="F81" s="32">
        <f t="shared" si="12"/>
        <v>0</v>
      </c>
      <c r="G81" s="94"/>
      <c r="H81" s="32"/>
      <c r="I81" s="32"/>
      <c r="J81" s="32"/>
      <c r="K81" s="32"/>
      <c r="L81" s="32"/>
      <c r="M81" s="32">
        <f aca="true" t="shared" si="14" ref="M81:M114">C81+F81</f>
        <v>1070.31356</v>
      </c>
    </row>
    <row r="82" spans="1:13" ht="60" customHeight="1">
      <c r="A82" s="4" t="s">
        <v>211</v>
      </c>
      <c r="B82" s="8" t="s">
        <v>189</v>
      </c>
      <c r="C82" s="32">
        <v>520</v>
      </c>
      <c r="D82" s="32"/>
      <c r="E82" s="32"/>
      <c r="F82" s="32">
        <f t="shared" si="12"/>
        <v>0</v>
      </c>
      <c r="G82" s="94"/>
      <c r="H82" s="32"/>
      <c r="I82" s="32"/>
      <c r="J82" s="32"/>
      <c r="K82" s="32"/>
      <c r="L82" s="32"/>
      <c r="M82" s="32">
        <f t="shared" si="14"/>
        <v>520</v>
      </c>
    </row>
    <row r="83" spans="1:13" s="36" customFormat="1" ht="75">
      <c r="A83" s="4" t="s">
        <v>341</v>
      </c>
      <c r="B83" s="8" t="s">
        <v>43</v>
      </c>
      <c r="C83" s="32">
        <f>0.6-0.518</f>
        <v>0.08199999999999996</v>
      </c>
      <c r="D83" s="32"/>
      <c r="E83" s="32"/>
      <c r="F83" s="32">
        <f t="shared" si="12"/>
        <v>0</v>
      </c>
      <c r="G83" s="94"/>
      <c r="H83" s="32"/>
      <c r="I83" s="32"/>
      <c r="J83" s="32"/>
      <c r="K83" s="32"/>
      <c r="L83" s="32"/>
      <c r="M83" s="32">
        <f t="shared" si="14"/>
        <v>0.08199999999999996</v>
      </c>
    </row>
    <row r="84" spans="1:14" ht="40.5" customHeight="1">
      <c r="A84" s="4" t="s">
        <v>216</v>
      </c>
      <c r="B84" s="5" t="s">
        <v>350</v>
      </c>
      <c r="C84" s="32">
        <f>1099.46+3.67942-119-15-1.525+2.55-63.205-47.976-6</f>
        <v>852.9834199999999</v>
      </c>
      <c r="D84" s="32">
        <f>SUM(D85:D94)</f>
        <v>0</v>
      </c>
      <c r="E84" s="32">
        <f>SUM(E85:E94)</f>
        <v>0</v>
      </c>
      <c r="F84" s="32">
        <f t="shared" si="12"/>
        <v>0</v>
      </c>
      <c r="G84" s="32">
        <f>SUM(G85:G95)</f>
        <v>0</v>
      </c>
      <c r="H84" s="32">
        <f>SUM(H85:H94)</f>
        <v>0</v>
      </c>
      <c r="I84" s="32">
        <f>SUM(I85:I94)</f>
        <v>0</v>
      </c>
      <c r="J84" s="32">
        <v>0</v>
      </c>
      <c r="K84" s="32">
        <v>0</v>
      </c>
      <c r="L84" s="32">
        <v>0</v>
      </c>
      <c r="M84" s="32">
        <f t="shared" si="14"/>
        <v>852.9834199999999</v>
      </c>
      <c r="N84" s="75"/>
    </row>
    <row r="85" spans="1:13" ht="80.25" customHeight="1" hidden="1">
      <c r="A85" s="4" t="s">
        <v>216</v>
      </c>
      <c r="B85" s="29" t="s">
        <v>84</v>
      </c>
      <c r="C85" s="32"/>
      <c r="D85" s="32"/>
      <c r="E85" s="32"/>
      <c r="F85" s="32">
        <f t="shared" si="12"/>
        <v>0</v>
      </c>
      <c r="G85" s="32"/>
      <c r="H85" s="32"/>
      <c r="I85" s="32"/>
      <c r="J85" s="32"/>
      <c r="K85" s="32"/>
      <c r="L85" s="32"/>
      <c r="M85" s="71">
        <f t="shared" si="14"/>
        <v>0</v>
      </c>
    </row>
    <row r="86" spans="1:13" ht="48" customHeight="1">
      <c r="A86" s="4" t="s">
        <v>216</v>
      </c>
      <c r="B86" s="29" t="s">
        <v>85</v>
      </c>
      <c r="C86" s="32">
        <v>90</v>
      </c>
      <c r="D86" s="32"/>
      <c r="E86" s="32"/>
      <c r="F86" s="32">
        <f t="shared" si="12"/>
        <v>0</v>
      </c>
      <c r="G86" s="32"/>
      <c r="H86" s="32"/>
      <c r="I86" s="32"/>
      <c r="J86" s="32"/>
      <c r="K86" s="32"/>
      <c r="L86" s="32"/>
      <c r="M86" s="71">
        <f t="shared" si="14"/>
        <v>90</v>
      </c>
    </row>
    <row r="87" spans="1:13" ht="64.5" customHeight="1">
      <c r="A87" s="4" t="s">
        <v>216</v>
      </c>
      <c r="B87" s="29" t="s">
        <v>57</v>
      </c>
      <c r="C87" s="32">
        <f>20-14+1.525</f>
        <v>7.525</v>
      </c>
      <c r="D87" s="32"/>
      <c r="E87" s="32"/>
      <c r="F87" s="32">
        <f t="shared" si="12"/>
        <v>0</v>
      </c>
      <c r="G87" s="32"/>
      <c r="H87" s="32"/>
      <c r="I87" s="32"/>
      <c r="J87" s="32">
        <v>0</v>
      </c>
      <c r="K87" s="32">
        <v>0</v>
      </c>
      <c r="L87" s="32">
        <v>0</v>
      </c>
      <c r="M87" s="71">
        <f t="shared" si="14"/>
        <v>7.525</v>
      </c>
    </row>
    <row r="88" spans="1:13" ht="58.5" customHeight="1">
      <c r="A88" s="4" t="s">
        <v>216</v>
      </c>
      <c r="B88" s="29" t="s">
        <v>87</v>
      </c>
      <c r="C88" s="32">
        <f>10+14+10</f>
        <v>34</v>
      </c>
      <c r="D88" s="32"/>
      <c r="E88" s="32"/>
      <c r="F88" s="32">
        <f t="shared" si="12"/>
        <v>0</v>
      </c>
      <c r="G88" s="32"/>
      <c r="H88" s="32"/>
      <c r="I88" s="32"/>
      <c r="J88" s="32"/>
      <c r="K88" s="32"/>
      <c r="L88" s="32"/>
      <c r="M88" s="71">
        <f t="shared" si="14"/>
        <v>34</v>
      </c>
    </row>
    <row r="89" spans="1:13" ht="62.25" customHeight="1" hidden="1">
      <c r="A89" s="4" t="s">
        <v>216</v>
      </c>
      <c r="B89" s="5" t="s">
        <v>58</v>
      </c>
      <c r="C89" s="32"/>
      <c r="D89" s="32"/>
      <c r="E89" s="32"/>
      <c r="F89" s="32">
        <f t="shared" si="12"/>
        <v>0</v>
      </c>
      <c r="G89" s="32"/>
      <c r="H89" s="32"/>
      <c r="I89" s="32"/>
      <c r="J89" s="32"/>
      <c r="K89" s="32"/>
      <c r="L89" s="32"/>
      <c r="M89" s="71">
        <f t="shared" si="14"/>
        <v>0</v>
      </c>
    </row>
    <row r="90" spans="1:13" ht="57" customHeight="1" hidden="1">
      <c r="A90" s="4" t="s">
        <v>216</v>
      </c>
      <c r="B90" s="5" t="s">
        <v>59</v>
      </c>
      <c r="C90" s="32"/>
      <c r="D90" s="32"/>
      <c r="E90" s="32"/>
      <c r="F90" s="32">
        <f t="shared" si="12"/>
        <v>0</v>
      </c>
      <c r="G90" s="32"/>
      <c r="H90" s="32"/>
      <c r="I90" s="32"/>
      <c r="J90" s="32"/>
      <c r="K90" s="32"/>
      <c r="L90" s="32"/>
      <c r="M90" s="71">
        <f t="shared" si="14"/>
        <v>0</v>
      </c>
    </row>
    <row r="91" spans="1:13" ht="57" customHeight="1" hidden="1">
      <c r="A91" s="4" t="s">
        <v>216</v>
      </c>
      <c r="B91" s="5" t="s">
        <v>62</v>
      </c>
      <c r="C91" s="32"/>
      <c r="D91" s="32"/>
      <c r="E91" s="32"/>
      <c r="F91" s="32">
        <f t="shared" si="12"/>
        <v>0</v>
      </c>
      <c r="G91" s="32"/>
      <c r="H91" s="32"/>
      <c r="I91" s="32"/>
      <c r="J91" s="32"/>
      <c r="K91" s="32"/>
      <c r="L91" s="32"/>
      <c r="M91" s="71">
        <f t="shared" si="14"/>
        <v>0</v>
      </c>
    </row>
    <row r="92" spans="1:13" ht="66.75" customHeight="1" hidden="1">
      <c r="A92" s="4" t="s">
        <v>216</v>
      </c>
      <c r="B92" s="8" t="s">
        <v>63</v>
      </c>
      <c r="C92" s="32"/>
      <c r="D92" s="32"/>
      <c r="E92" s="32"/>
      <c r="F92" s="32">
        <f t="shared" si="12"/>
        <v>0</v>
      </c>
      <c r="G92" s="32"/>
      <c r="H92" s="32"/>
      <c r="I92" s="32"/>
      <c r="J92" s="32"/>
      <c r="K92" s="32"/>
      <c r="L92" s="32"/>
      <c r="M92" s="71">
        <f t="shared" si="14"/>
        <v>0</v>
      </c>
    </row>
    <row r="93" spans="1:13" ht="43.5" customHeight="1" hidden="1">
      <c r="A93" s="4" t="s">
        <v>216</v>
      </c>
      <c r="B93" s="29" t="s">
        <v>64</v>
      </c>
      <c r="C93" s="32"/>
      <c r="D93" s="32"/>
      <c r="E93" s="32"/>
      <c r="F93" s="32">
        <f t="shared" si="12"/>
        <v>0</v>
      </c>
      <c r="G93" s="32"/>
      <c r="H93" s="32"/>
      <c r="I93" s="32"/>
      <c r="J93" s="32"/>
      <c r="K93" s="32"/>
      <c r="L93" s="32"/>
      <c r="M93" s="71">
        <f t="shared" si="14"/>
        <v>0</v>
      </c>
    </row>
    <row r="94" spans="1:13" ht="59.25" customHeight="1" hidden="1">
      <c r="A94" s="4" t="s">
        <v>216</v>
      </c>
      <c r="B94" s="29" t="s">
        <v>65</v>
      </c>
      <c r="C94" s="32"/>
      <c r="D94" s="32"/>
      <c r="E94" s="32"/>
      <c r="F94" s="32">
        <f t="shared" si="12"/>
        <v>0</v>
      </c>
      <c r="G94" s="32"/>
      <c r="H94" s="32"/>
      <c r="I94" s="32"/>
      <c r="J94" s="32"/>
      <c r="K94" s="32"/>
      <c r="L94" s="32"/>
      <c r="M94" s="71">
        <f t="shared" si="14"/>
        <v>0</v>
      </c>
    </row>
    <row r="95" spans="1:13" ht="43.5" customHeight="1" hidden="1">
      <c r="A95" s="4" t="s">
        <v>216</v>
      </c>
      <c r="B95" s="5" t="s">
        <v>66</v>
      </c>
      <c r="C95" s="32"/>
      <c r="D95" s="32"/>
      <c r="E95" s="32"/>
      <c r="F95" s="32">
        <f t="shared" si="12"/>
        <v>0</v>
      </c>
      <c r="G95" s="32"/>
      <c r="H95" s="32"/>
      <c r="I95" s="32"/>
      <c r="J95" s="32"/>
      <c r="K95" s="32"/>
      <c r="L95" s="32"/>
      <c r="M95" s="32">
        <f t="shared" si="14"/>
        <v>0</v>
      </c>
    </row>
    <row r="96" spans="1:13" ht="47.25" customHeight="1" hidden="1">
      <c r="A96" s="4" t="s">
        <v>216</v>
      </c>
      <c r="B96" s="5" t="s">
        <v>365</v>
      </c>
      <c r="C96" s="32"/>
      <c r="D96" s="32"/>
      <c r="E96" s="32"/>
      <c r="F96" s="32">
        <f t="shared" si="12"/>
        <v>0</v>
      </c>
      <c r="G96" s="32"/>
      <c r="H96" s="32"/>
      <c r="I96" s="32"/>
      <c r="J96" s="32"/>
      <c r="K96" s="32"/>
      <c r="L96" s="32"/>
      <c r="M96" s="32">
        <f t="shared" si="14"/>
        <v>0</v>
      </c>
    </row>
    <row r="97" spans="1:13" ht="62.25" customHeight="1" hidden="1">
      <c r="A97" s="4" t="s">
        <v>216</v>
      </c>
      <c r="B97" s="5" t="s">
        <v>24</v>
      </c>
      <c r="C97" s="32"/>
      <c r="D97" s="32"/>
      <c r="E97" s="32"/>
      <c r="F97" s="32">
        <f t="shared" si="12"/>
        <v>0</v>
      </c>
      <c r="G97" s="32"/>
      <c r="H97" s="32"/>
      <c r="I97" s="32"/>
      <c r="J97" s="32"/>
      <c r="K97" s="32"/>
      <c r="L97" s="32"/>
      <c r="M97" s="32">
        <f t="shared" si="14"/>
        <v>0</v>
      </c>
    </row>
    <row r="98" spans="1:13" ht="57.75" customHeight="1" hidden="1">
      <c r="A98" s="4" t="s">
        <v>216</v>
      </c>
      <c r="B98" s="5" t="s">
        <v>46</v>
      </c>
      <c r="C98" s="32"/>
      <c r="D98" s="32"/>
      <c r="E98" s="32"/>
      <c r="F98" s="32">
        <f t="shared" si="12"/>
        <v>0</v>
      </c>
      <c r="G98" s="32"/>
      <c r="H98" s="32"/>
      <c r="I98" s="32"/>
      <c r="J98" s="32"/>
      <c r="K98" s="32"/>
      <c r="L98" s="32"/>
      <c r="M98" s="32">
        <f t="shared" si="14"/>
        <v>0</v>
      </c>
    </row>
    <row r="99" spans="1:13" ht="39" customHeight="1" hidden="1">
      <c r="A99" s="4" t="s">
        <v>216</v>
      </c>
      <c r="B99" s="5" t="s">
        <v>366</v>
      </c>
      <c r="C99" s="32"/>
      <c r="D99" s="32"/>
      <c r="E99" s="32"/>
      <c r="F99" s="32">
        <f t="shared" si="12"/>
        <v>0</v>
      </c>
      <c r="G99" s="32"/>
      <c r="H99" s="32"/>
      <c r="I99" s="32"/>
      <c r="J99" s="32"/>
      <c r="K99" s="32"/>
      <c r="L99" s="32"/>
      <c r="M99" s="32">
        <f t="shared" si="14"/>
        <v>0</v>
      </c>
    </row>
    <row r="100" spans="1:13" ht="0.75" customHeight="1" hidden="1">
      <c r="A100" s="4" t="s">
        <v>216</v>
      </c>
      <c r="B100" s="5" t="s">
        <v>114</v>
      </c>
      <c r="C100" s="32"/>
      <c r="D100" s="32"/>
      <c r="E100" s="32"/>
      <c r="F100" s="32">
        <f t="shared" si="12"/>
        <v>0</v>
      </c>
      <c r="G100" s="32"/>
      <c r="H100" s="32"/>
      <c r="I100" s="32"/>
      <c r="J100" s="32"/>
      <c r="K100" s="32"/>
      <c r="L100" s="32"/>
      <c r="M100" s="32">
        <f t="shared" si="14"/>
        <v>0</v>
      </c>
    </row>
    <row r="101" spans="1:13" ht="39.75" customHeight="1" hidden="1">
      <c r="A101" s="4" t="s">
        <v>216</v>
      </c>
      <c r="B101" s="5" t="s">
        <v>47</v>
      </c>
      <c r="C101" s="32"/>
      <c r="D101" s="32"/>
      <c r="E101" s="32"/>
      <c r="F101" s="32">
        <f t="shared" si="12"/>
        <v>0</v>
      </c>
      <c r="G101" s="32"/>
      <c r="H101" s="32"/>
      <c r="I101" s="32"/>
      <c r="J101" s="32"/>
      <c r="K101" s="32"/>
      <c r="L101" s="32"/>
      <c r="M101" s="32">
        <f t="shared" si="14"/>
        <v>0</v>
      </c>
    </row>
    <row r="102" spans="1:13" ht="39.75" customHeight="1" hidden="1">
      <c r="A102" s="4" t="s">
        <v>216</v>
      </c>
      <c r="B102" s="5" t="s">
        <v>77</v>
      </c>
      <c r="C102" s="32"/>
      <c r="D102" s="32"/>
      <c r="E102" s="32"/>
      <c r="F102" s="32">
        <f t="shared" si="12"/>
        <v>0</v>
      </c>
      <c r="G102" s="32"/>
      <c r="H102" s="32"/>
      <c r="I102" s="32"/>
      <c r="J102" s="32"/>
      <c r="K102" s="32"/>
      <c r="L102" s="32"/>
      <c r="M102" s="32">
        <f t="shared" si="14"/>
        <v>0</v>
      </c>
    </row>
    <row r="103" spans="1:13" ht="30.75" customHeight="1" hidden="1">
      <c r="A103" s="4" t="s">
        <v>216</v>
      </c>
      <c r="B103" s="5" t="s">
        <v>101</v>
      </c>
      <c r="C103" s="32"/>
      <c r="D103" s="32"/>
      <c r="E103" s="32"/>
      <c r="F103" s="32">
        <f t="shared" si="12"/>
        <v>0</v>
      </c>
      <c r="G103" s="32"/>
      <c r="H103" s="32"/>
      <c r="I103" s="32"/>
      <c r="J103" s="32"/>
      <c r="K103" s="32"/>
      <c r="L103" s="32"/>
      <c r="M103" s="32">
        <f t="shared" si="14"/>
        <v>0</v>
      </c>
    </row>
    <row r="104" spans="1:13" ht="44.25" customHeight="1" hidden="1">
      <c r="A104" s="4" t="s">
        <v>216</v>
      </c>
      <c r="B104" s="11" t="s">
        <v>331</v>
      </c>
      <c r="C104" s="32"/>
      <c r="D104" s="32"/>
      <c r="E104" s="32"/>
      <c r="F104" s="32">
        <f t="shared" si="12"/>
        <v>0</v>
      </c>
      <c r="G104" s="32"/>
      <c r="H104" s="32"/>
      <c r="I104" s="32"/>
      <c r="J104" s="32"/>
      <c r="K104" s="32"/>
      <c r="L104" s="32"/>
      <c r="M104" s="32">
        <f t="shared" si="14"/>
        <v>0</v>
      </c>
    </row>
    <row r="105" spans="1:13" ht="51" customHeight="1">
      <c r="A105" s="4" t="s">
        <v>216</v>
      </c>
      <c r="B105" s="13" t="s">
        <v>349</v>
      </c>
      <c r="C105" s="32">
        <f>40.7-3.214</f>
        <v>37.486000000000004</v>
      </c>
      <c r="D105" s="32"/>
      <c r="E105" s="32"/>
      <c r="F105" s="32">
        <f t="shared" si="12"/>
        <v>0</v>
      </c>
      <c r="G105" s="32"/>
      <c r="H105" s="32"/>
      <c r="I105" s="32"/>
      <c r="J105" s="32"/>
      <c r="K105" s="32"/>
      <c r="L105" s="32"/>
      <c r="M105" s="32">
        <f t="shared" si="14"/>
        <v>37.486000000000004</v>
      </c>
    </row>
    <row r="106" spans="1:13" ht="77.25" customHeight="1" hidden="1">
      <c r="A106" s="4" t="s">
        <v>216</v>
      </c>
      <c r="B106" s="29" t="s">
        <v>132</v>
      </c>
      <c r="C106" s="32"/>
      <c r="D106" s="32"/>
      <c r="E106" s="32"/>
      <c r="F106" s="32">
        <f t="shared" si="12"/>
        <v>0</v>
      </c>
      <c r="G106" s="94"/>
      <c r="H106" s="32"/>
      <c r="I106" s="32"/>
      <c r="J106" s="32"/>
      <c r="K106" s="32"/>
      <c r="L106" s="32"/>
      <c r="M106" s="32">
        <f t="shared" si="14"/>
        <v>0</v>
      </c>
    </row>
    <row r="107" spans="1:13" ht="66" customHeight="1">
      <c r="A107" s="4" t="s">
        <v>213</v>
      </c>
      <c r="B107" s="5" t="s">
        <v>165</v>
      </c>
      <c r="C107" s="48">
        <f>49.6+1.5+8.85041</f>
        <v>59.950410000000005</v>
      </c>
      <c r="D107" s="32"/>
      <c r="E107" s="32"/>
      <c r="F107" s="32">
        <f t="shared" si="12"/>
        <v>0</v>
      </c>
      <c r="G107" s="94"/>
      <c r="H107" s="32"/>
      <c r="I107" s="32"/>
      <c r="J107" s="32"/>
      <c r="K107" s="32"/>
      <c r="L107" s="32"/>
      <c r="M107" s="32">
        <f t="shared" si="14"/>
        <v>59.950410000000005</v>
      </c>
    </row>
    <row r="108" spans="1:13" ht="39.75" customHeight="1">
      <c r="A108" s="4" t="s">
        <v>213</v>
      </c>
      <c r="B108" s="5" t="s">
        <v>111</v>
      </c>
      <c r="C108" s="48">
        <v>40.3</v>
      </c>
      <c r="D108" s="32"/>
      <c r="E108" s="32"/>
      <c r="F108" s="32">
        <f>G108+J108</f>
        <v>0</v>
      </c>
      <c r="G108" s="94"/>
      <c r="H108" s="32"/>
      <c r="I108" s="32"/>
      <c r="J108" s="32"/>
      <c r="K108" s="32"/>
      <c r="L108" s="32"/>
      <c r="M108" s="32">
        <f>C108+F108</f>
        <v>40.3</v>
      </c>
    </row>
    <row r="109" spans="1:13" ht="44.25" customHeight="1">
      <c r="A109" s="4" t="s">
        <v>217</v>
      </c>
      <c r="B109" s="5" t="s">
        <v>131</v>
      </c>
      <c r="C109" s="56">
        <f>22.92+1.32</f>
        <v>24.240000000000002</v>
      </c>
      <c r="D109" s="32"/>
      <c r="E109" s="32"/>
      <c r="F109" s="32">
        <f t="shared" si="12"/>
        <v>0</v>
      </c>
      <c r="G109" s="32"/>
      <c r="H109" s="32"/>
      <c r="I109" s="32"/>
      <c r="J109" s="32"/>
      <c r="K109" s="32"/>
      <c r="L109" s="32"/>
      <c r="M109" s="32">
        <f t="shared" si="14"/>
        <v>24.240000000000002</v>
      </c>
    </row>
    <row r="110" spans="1:13" ht="54" customHeight="1">
      <c r="A110" s="4" t="s">
        <v>217</v>
      </c>
      <c r="B110" s="5" t="s">
        <v>351</v>
      </c>
      <c r="C110" s="32">
        <f>86.65-11.82-5.5</f>
        <v>69.33000000000001</v>
      </c>
      <c r="D110" s="32"/>
      <c r="E110" s="32"/>
      <c r="F110" s="32">
        <f t="shared" si="12"/>
        <v>0</v>
      </c>
      <c r="G110" s="32"/>
      <c r="H110" s="32"/>
      <c r="I110" s="32"/>
      <c r="J110" s="32"/>
      <c r="K110" s="32"/>
      <c r="L110" s="32"/>
      <c r="M110" s="32">
        <f t="shared" si="14"/>
        <v>69.33000000000001</v>
      </c>
    </row>
    <row r="111" spans="1:13" ht="118.5" customHeight="1" hidden="1">
      <c r="A111" s="4" t="s">
        <v>217</v>
      </c>
      <c r="B111" s="5" t="s">
        <v>67</v>
      </c>
      <c r="C111" s="32"/>
      <c r="D111" s="32"/>
      <c r="E111" s="32"/>
      <c r="F111" s="32">
        <f t="shared" si="12"/>
        <v>0</v>
      </c>
      <c r="G111" s="94"/>
      <c r="H111" s="32"/>
      <c r="I111" s="32"/>
      <c r="J111" s="32"/>
      <c r="K111" s="32"/>
      <c r="L111" s="32"/>
      <c r="M111" s="32">
        <f t="shared" si="14"/>
        <v>0</v>
      </c>
    </row>
    <row r="112" spans="1:13" ht="30.75" customHeight="1" hidden="1">
      <c r="A112" s="4" t="s">
        <v>217</v>
      </c>
      <c r="B112" s="5" t="s">
        <v>68</v>
      </c>
      <c r="C112" s="32"/>
      <c r="D112" s="32"/>
      <c r="E112" s="32"/>
      <c r="F112" s="32">
        <f t="shared" si="12"/>
        <v>0</v>
      </c>
      <c r="G112" s="94"/>
      <c r="H112" s="32"/>
      <c r="I112" s="32"/>
      <c r="J112" s="32"/>
      <c r="K112" s="32"/>
      <c r="L112" s="32"/>
      <c r="M112" s="32">
        <f t="shared" si="14"/>
        <v>0</v>
      </c>
    </row>
    <row r="113" spans="1:13" ht="30.75" customHeight="1" hidden="1">
      <c r="A113" s="4" t="s">
        <v>217</v>
      </c>
      <c r="B113" s="5" t="s">
        <v>320</v>
      </c>
      <c r="C113" s="32"/>
      <c r="D113" s="32"/>
      <c r="E113" s="32"/>
      <c r="F113" s="32">
        <f t="shared" si="12"/>
        <v>0</v>
      </c>
      <c r="G113" s="94"/>
      <c r="H113" s="32"/>
      <c r="I113" s="32"/>
      <c r="J113" s="32"/>
      <c r="K113" s="32"/>
      <c r="L113" s="32"/>
      <c r="M113" s="32">
        <f t="shared" si="14"/>
        <v>0</v>
      </c>
    </row>
    <row r="114" spans="1:13" ht="30.75" customHeight="1" hidden="1">
      <c r="A114" s="4" t="s">
        <v>217</v>
      </c>
      <c r="B114" s="5" t="s">
        <v>319</v>
      </c>
      <c r="C114" s="32"/>
      <c r="D114" s="32"/>
      <c r="E114" s="32"/>
      <c r="F114" s="32">
        <f t="shared" si="12"/>
        <v>0</v>
      </c>
      <c r="G114" s="94"/>
      <c r="H114" s="32"/>
      <c r="I114" s="32"/>
      <c r="J114" s="32"/>
      <c r="K114" s="32"/>
      <c r="L114" s="32"/>
      <c r="M114" s="32">
        <f t="shared" si="14"/>
        <v>0</v>
      </c>
    </row>
    <row r="115" spans="1:13" ht="57" customHeight="1" hidden="1">
      <c r="A115" s="4" t="s">
        <v>216</v>
      </c>
      <c r="B115" s="5" t="s">
        <v>129</v>
      </c>
      <c r="C115" s="32"/>
      <c r="D115" s="32"/>
      <c r="E115" s="32"/>
      <c r="F115" s="32">
        <f t="shared" si="12"/>
        <v>0</v>
      </c>
      <c r="G115" s="32"/>
      <c r="H115" s="32"/>
      <c r="I115" s="32"/>
      <c r="J115" s="32"/>
      <c r="K115" s="32"/>
      <c r="L115" s="32"/>
      <c r="M115" s="32">
        <f>C115+F115</f>
        <v>0</v>
      </c>
    </row>
    <row r="116" spans="1:13" ht="54" customHeight="1" hidden="1">
      <c r="A116" s="4" t="s">
        <v>217</v>
      </c>
      <c r="B116" s="5" t="s">
        <v>69</v>
      </c>
      <c r="C116" s="32"/>
      <c r="D116" s="32"/>
      <c r="E116" s="32"/>
      <c r="F116" s="32">
        <f t="shared" si="12"/>
        <v>0</v>
      </c>
      <c r="G116" s="94"/>
      <c r="H116" s="32"/>
      <c r="I116" s="32"/>
      <c r="J116" s="32"/>
      <c r="K116" s="32"/>
      <c r="L116" s="32"/>
      <c r="M116" s="32">
        <f aca="true" t="shared" si="15" ref="M116:M155">C116+F116</f>
        <v>0</v>
      </c>
    </row>
    <row r="117" spans="1:13" ht="120" customHeight="1" hidden="1">
      <c r="A117" s="4" t="s">
        <v>217</v>
      </c>
      <c r="B117" s="8" t="s">
        <v>73</v>
      </c>
      <c r="C117" s="32"/>
      <c r="D117" s="32"/>
      <c r="E117" s="32"/>
      <c r="F117" s="32">
        <f t="shared" si="12"/>
        <v>0</v>
      </c>
      <c r="G117" s="94"/>
      <c r="H117" s="32"/>
      <c r="I117" s="32"/>
      <c r="J117" s="32"/>
      <c r="K117" s="32"/>
      <c r="L117" s="32"/>
      <c r="M117" s="32">
        <f t="shared" si="15"/>
        <v>0</v>
      </c>
    </row>
    <row r="118" spans="1:13" ht="117" customHeight="1" hidden="1">
      <c r="A118" s="4" t="s">
        <v>217</v>
      </c>
      <c r="B118" s="8" t="s">
        <v>180</v>
      </c>
      <c r="C118" s="32"/>
      <c r="D118" s="32"/>
      <c r="E118" s="32"/>
      <c r="F118" s="32">
        <f t="shared" si="12"/>
        <v>0</v>
      </c>
      <c r="G118" s="94"/>
      <c r="H118" s="32"/>
      <c r="I118" s="32"/>
      <c r="J118" s="32"/>
      <c r="K118" s="32"/>
      <c r="L118" s="32"/>
      <c r="M118" s="32">
        <f t="shared" si="15"/>
        <v>0</v>
      </c>
    </row>
    <row r="119" spans="1:13" ht="49.5" customHeight="1">
      <c r="A119" s="4" t="s">
        <v>257</v>
      </c>
      <c r="B119" s="8" t="s">
        <v>79</v>
      </c>
      <c r="C119" s="32">
        <f>19.3-5.2</f>
        <v>14.100000000000001</v>
      </c>
      <c r="D119" s="32"/>
      <c r="E119" s="32"/>
      <c r="F119" s="32">
        <f t="shared" si="12"/>
        <v>0</v>
      </c>
      <c r="G119" s="94"/>
      <c r="H119" s="32"/>
      <c r="I119" s="32"/>
      <c r="J119" s="32"/>
      <c r="K119" s="32"/>
      <c r="L119" s="32"/>
      <c r="M119" s="32">
        <f t="shared" si="15"/>
        <v>14.100000000000001</v>
      </c>
    </row>
    <row r="120" spans="1:13" ht="40.5" customHeight="1">
      <c r="A120" s="4" t="s">
        <v>285</v>
      </c>
      <c r="B120" s="5" t="s">
        <v>203</v>
      </c>
      <c r="C120" s="32">
        <f>SUM(C121:C123)+C124+C128</f>
        <v>1809.66682</v>
      </c>
      <c r="D120" s="32">
        <f>SUM(D121:D132)-D124-D128</f>
        <v>978.43</v>
      </c>
      <c r="E120" s="32">
        <f>SUM(E121:E132)-E124-E128</f>
        <v>29.9</v>
      </c>
      <c r="F120" s="32">
        <f t="shared" si="12"/>
        <v>192.25625000000002</v>
      </c>
      <c r="G120" s="32">
        <f aca="true" t="shared" si="16" ref="G120:L120">SUM(G121:G132)-G124-G128</f>
        <v>39.02</v>
      </c>
      <c r="H120" s="32">
        <f t="shared" si="16"/>
        <v>0</v>
      </c>
      <c r="I120" s="32">
        <f t="shared" si="16"/>
        <v>0</v>
      </c>
      <c r="J120" s="32">
        <f t="shared" si="16"/>
        <v>153.23625</v>
      </c>
      <c r="K120" s="32">
        <f t="shared" si="16"/>
        <v>10.7174</v>
      </c>
      <c r="L120" s="32">
        <f t="shared" si="16"/>
        <v>9.3974</v>
      </c>
      <c r="M120" s="32">
        <f t="shared" si="15"/>
        <v>2001.9230699999998</v>
      </c>
    </row>
    <row r="121" spans="1:13" ht="102" customHeight="1">
      <c r="A121" s="4" t="s">
        <v>209</v>
      </c>
      <c r="B121" s="8" t="s">
        <v>182</v>
      </c>
      <c r="C121" s="32">
        <f>1622.4+3.11422-9.3974-31.22</f>
        <v>1584.89682</v>
      </c>
      <c r="D121" s="32">
        <v>978.43</v>
      </c>
      <c r="E121" s="32">
        <v>29.9</v>
      </c>
      <c r="F121" s="70">
        <f>G121+J121</f>
        <v>56.0174</v>
      </c>
      <c r="G121" s="32">
        <v>39.02</v>
      </c>
      <c r="H121" s="32"/>
      <c r="I121" s="32"/>
      <c r="J121" s="32">
        <f>6.28+9.3974+1.32</f>
        <v>16.9974</v>
      </c>
      <c r="K121" s="48">
        <f>9.3974+1.32</f>
        <v>10.7174</v>
      </c>
      <c r="L121" s="48">
        <f>9.3974+1.32-1.32</f>
        <v>9.3974</v>
      </c>
      <c r="M121" s="71">
        <f>C121+F121</f>
        <v>1640.91422</v>
      </c>
    </row>
    <row r="122" spans="1:13" s="76" customFormat="1" ht="102" customHeight="1">
      <c r="A122" s="4" t="s">
        <v>209</v>
      </c>
      <c r="B122" s="29" t="s">
        <v>272</v>
      </c>
      <c r="C122" s="32"/>
      <c r="D122" s="32"/>
      <c r="E122" s="32"/>
      <c r="F122" s="70">
        <f t="shared" si="12"/>
        <v>136.23885</v>
      </c>
      <c r="G122" s="32"/>
      <c r="H122" s="32"/>
      <c r="I122" s="32"/>
      <c r="J122" s="32">
        <v>136.23885</v>
      </c>
      <c r="K122" s="32"/>
      <c r="L122" s="32"/>
      <c r="M122" s="71">
        <f t="shared" si="15"/>
        <v>136.23885</v>
      </c>
    </row>
    <row r="123" spans="1:13" ht="119.25" customHeight="1">
      <c r="A123" s="4" t="s">
        <v>362</v>
      </c>
      <c r="B123" s="5" t="s">
        <v>352</v>
      </c>
      <c r="C123" s="32">
        <f>140-10-35.4</f>
        <v>94.6</v>
      </c>
      <c r="D123" s="32"/>
      <c r="E123" s="32"/>
      <c r="F123" s="32">
        <f t="shared" si="12"/>
        <v>0</v>
      </c>
      <c r="G123" s="32"/>
      <c r="H123" s="32"/>
      <c r="I123" s="32"/>
      <c r="J123" s="32"/>
      <c r="K123" s="32"/>
      <c r="L123" s="32"/>
      <c r="M123" s="32">
        <f t="shared" si="15"/>
        <v>94.6</v>
      </c>
    </row>
    <row r="124" spans="1:13" ht="54" customHeight="1">
      <c r="A124" s="4" t="s">
        <v>215</v>
      </c>
      <c r="B124" s="5" t="s">
        <v>353</v>
      </c>
      <c r="C124" s="32">
        <f>34.14-2-4.2</f>
        <v>27.94</v>
      </c>
      <c r="D124" s="32"/>
      <c r="E124" s="32"/>
      <c r="F124" s="32">
        <f t="shared" si="12"/>
        <v>0</v>
      </c>
      <c r="G124" s="32"/>
      <c r="H124" s="32"/>
      <c r="I124" s="32"/>
      <c r="J124" s="32"/>
      <c r="K124" s="32"/>
      <c r="L124" s="32"/>
      <c r="M124" s="32">
        <f t="shared" si="15"/>
        <v>27.94</v>
      </c>
    </row>
    <row r="125" spans="1:13" ht="39.75" customHeight="1" hidden="1">
      <c r="A125" s="4" t="s">
        <v>215</v>
      </c>
      <c r="B125" s="5" t="s">
        <v>70</v>
      </c>
      <c r="C125" s="32">
        <v>100.23</v>
      </c>
      <c r="D125" s="32"/>
      <c r="E125" s="32"/>
      <c r="F125" s="32">
        <f t="shared" si="12"/>
        <v>0</v>
      </c>
      <c r="G125" s="32"/>
      <c r="H125" s="32"/>
      <c r="I125" s="32"/>
      <c r="J125" s="32"/>
      <c r="K125" s="32"/>
      <c r="L125" s="32"/>
      <c r="M125" s="32">
        <f t="shared" si="15"/>
        <v>100.23</v>
      </c>
    </row>
    <row r="126" spans="1:13" ht="48" customHeight="1" hidden="1">
      <c r="A126" s="4" t="s">
        <v>215</v>
      </c>
      <c r="B126" s="5" t="s">
        <v>71</v>
      </c>
      <c r="C126" s="32"/>
      <c r="D126" s="32"/>
      <c r="E126" s="32"/>
      <c r="F126" s="32">
        <f t="shared" si="12"/>
        <v>0</v>
      </c>
      <c r="G126" s="32"/>
      <c r="H126" s="32"/>
      <c r="I126" s="32"/>
      <c r="J126" s="32"/>
      <c r="K126" s="32"/>
      <c r="L126" s="32"/>
      <c r="M126" s="32">
        <f t="shared" si="15"/>
        <v>0</v>
      </c>
    </row>
    <row r="127" spans="1:13" ht="48" customHeight="1" hidden="1">
      <c r="A127" s="4" t="s">
        <v>215</v>
      </c>
      <c r="B127" s="5" t="s">
        <v>255</v>
      </c>
      <c r="C127" s="32"/>
      <c r="D127" s="32"/>
      <c r="E127" s="32"/>
      <c r="F127" s="32">
        <f t="shared" si="12"/>
        <v>0</v>
      </c>
      <c r="G127" s="32"/>
      <c r="H127" s="32"/>
      <c r="I127" s="32"/>
      <c r="J127" s="32"/>
      <c r="K127" s="32"/>
      <c r="L127" s="32"/>
      <c r="M127" s="32">
        <f t="shared" si="15"/>
        <v>0</v>
      </c>
    </row>
    <row r="128" spans="1:13" ht="57" customHeight="1">
      <c r="A128" s="4" t="s">
        <v>214</v>
      </c>
      <c r="B128" s="5" t="s">
        <v>354</v>
      </c>
      <c r="C128" s="32">
        <f>100.23+2</f>
        <v>102.23</v>
      </c>
      <c r="D128" s="32"/>
      <c r="E128" s="32"/>
      <c r="F128" s="32">
        <f t="shared" si="12"/>
        <v>0</v>
      </c>
      <c r="G128" s="32"/>
      <c r="H128" s="32"/>
      <c r="I128" s="32"/>
      <c r="J128" s="32"/>
      <c r="K128" s="32"/>
      <c r="L128" s="32"/>
      <c r="M128" s="32">
        <f t="shared" si="15"/>
        <v>102.23</v>
      </c>
    </row>
    <row r="129" spans="1:13" ht="36" customHeight="1" hidden="1">
      <c r="A129" s="4" t="s">
        <v>214</v>
      </c>
      <c r="B129" s="5" t="s">
        <v>72</v>
      </c>
      <c r="C129" s="32"/>
      <c r="D129" s="32"/>
      <c r="E129" s="32"/>
      <c r="F129" s="32">
        <f t="shared" si="12"/>
        <v>0</v>
      </c>
      <c r="G129" s="94"/>
      <c r="H129" s="32"/>
      <c r="I129" s="32"/>
      <c r="J129" s="32"/>
      <c r="K129" s="32"/>
      <c r="L129" s="32"/>
      <c r="M129" s="32">
        <f t="shared" si="15"/>
        <v>0</v>
      </c>
    </row>
    <row r="130" spans="1:13" ht="39" customHeight="1" hidden="1">
      <c r="A130" s="4" t="s">
        <v>214</v>
      </c>
      <c r="B130" s="5" t="s">
        <v>74</v>
      </c>
      <c r="C130" s="32"/>
      <c r="D130" s="32"/>
      <c r="E130" s="32"/>
      <c r="F130" s="32">
        <f t="shared" si="12"/>
        <v>0</v>
      </c>
      <c r="G130" s="94"/>
      <c r="H130" s="32"/>
      <c r="I130" s="32"/>
      <c r="J130" s="32"/>
      <c r="K130" s="32"/>
      <c r="L130" s="32"/>
      <c r="M130" s="32">
        <f t="shared" si="15"/>
        <v>0</v>
      </c>
    </row>
    <row r="131" spans="1:13" ht="39" customHeight="1" hidden="1">
      <c r="A131" s="4" t="s">
        <v>214</v>
      </c>
      <c r="B131" s="5" t="s">
        <v>75</v>
      </c>
      <c r="C131" s="32"/>
      <c r="D131" s="32"/>
      <c r="E131" s="32"/>
      <c r="F131" s="32">
        <f t="shared" si="12"/>
        <v>0</v>
      </c>
      <c r="G131" s="94"/>
      <c r="H131" s="32"/>
      <c r="I131" s="32"/>
      <c r="J131" s="32"/>
      <c r="K131" s="32"/>
      <c r="L131" s="32"/>
      <c r="M131" s="32">
        <f t="shared" si="15"/>
        <v>0</v>
      </c>
    </row>
    <row r="132" spans="1:13" ht="44.25" customHeight="1" hidden="1">
      <c r="A132" s="4" t="s">
        <v>214</v>
      </c>
      <c r="B132" s="5" t="s">
        <v>76</v>
      </c>
      <c r="C132" s="32"/>
      <c r="D132" s="32"/>
      <c r="E132" s="32"/>
      <c r="F132" s="32">
        <f t="shared" si="12"/>
        <v>0</v>
      </c>
      <c r="G132" s="94"/>
      <c r="H132" s="32"/>
      <c r="I132" s="32"/>
      <c r="J132" s="32"/>
      <c r="K132" s="32"/>
      <c r="L132" s="32"/>
      <c r="M132" s="32">
        <f t="shared" si="15"/>
        <v>0</v>
      </c>
    </row>
    <row r="133" spans="1:13" ht="48" customHeight="1">
      <c r="A133" s="4" t="s">
        <v>218</v>
      </c>
      <c r="B133" s="8" t="s">
        <v>121</v>
      </c>
      <c r="C133" s="32">
        <f>SUM(C134:C136)</f>
        <v>2952.057</v>
      </c>
      <c r="D133" s="32">
        <f aca="true" t="shared" si="17" ref="D133:L133">SUM(D134:D136)</f>
        <v>0</v>
      </c>
      <c r="E133" s="32">
        <f t="shared" si="17"/>
        <v>0</v>
      </c>
      <c r="F133" s="32">
        <f t="shared" si="12"/>
        <v>0</v>
      </c>
      <c r="G133" s="32">
        <f t="shared" si="17"/>
        <v>0</v>
      </c>
      <c r="H133" s="32">
        <f t="shared" si="17"/>
        <v>0</v>
      </c>
      <c r="I133" s="32">
        <f t="shared" si="17"/>
        <v>0</v>
      </c>
      <c r="J133" s="32">
        <f t="shared" si="17"/>
        <v>0</v>
      </c>
      <c r="K133" s="32">
        <f t="shared" si="17"/>
        <v>0</v>
      </c>
      <c r="L133" s="32">
        <f t="shared" si="17"/>
        <v>0</v>
      </c>
      <c r="M133" s="32">
        <f t="shared" si="15"/>
        <v>2952.057</v>
      </c>
    </row>
    <row r="134" spans="1:13" ht="69" customHeight="1">
      <c r="A134" s="4" t="s">
        <v>218</v>
      </c>
      <c r="B134" s="8" t="s">
        <v>166</v>
      </c>
      <c r="C134" s="32">
        <f>2955.6-10.943</f>
        <v>2944.6569999999997</v>
      </c>
      <c r="D134" s="32"/>
      <c r="E134" s="32"/>
      <c r="F134" s="32">
        <f aca="true" t="shared" si="18" ref="F134:F222">G134+J134</f>
        <v>0</v>
      </c>
      <c r="G134" s="94"/>
      <c r="H134" s="32"/>
      <c r="I134" s="32"/>
      <c r="J134" s="32"/>
      <c r="K134" s="32"/>
      <c r="L134" s="32"/>
      <c r="M134" s="32">
        <f t="shared" si="15"/>
        <v>2944.6569999999997</v>
      </c>
    </row>
    <row r="135" spans="1:13" ht="84" customHeight="1">
      <c r="A135" s="4" t="s">
        <v>2</v>
      </c>
      <c r="B135" s="8" t="s">
        <v>167</v>
      </c>
      <c r="C135" s="32">
        <v>6.32</v>
      </c>
      <c r="D135" s="32"/>
      <c r="E135" s="32"/>
      <c r="F135" s="32">
        <f t="shared" si="18"/>
        <v>0</v>
      </c>
      <c r="G135" s="94"/>
      <c r="H135" s="32"/>
      <c r="I135" s="32"/>
      <c r="J135" s="32"/>
      <c r="K135" s="32"/>
      <c r="L135" s="32"/>
      <c r="M135" s="32">
        <f t="shared" si="15"/>
        <v>6.32</v>
      </c>
    </row>
    <row r="136" spans="1:13" ht="43.5" customHeight="1">
      <c r="A136" s="4" t="s">
        <v>4</v>
      </c>
      <c r="B136" s="5" t="s">
        <v>115</v>
      </c>
      <c r="C136" s="32">
        <v>1.08</v>
      </c>
      <c r="D136" s="32"/>
      <c r="E136" s="32"/>
      <c r="F136" s="32">
        <f t="shared" si="18"/>
        <v>0</v>
      </c>
      <c r="G136" s="94"/>
      <c r="H136" s="32"/>
      <c r="I136" s="32"/>
      <c r="J136" s="32"/>
      <c r="K136" s="32"/>
      <c r="L136" s="32"/>
      <c r="M136" s="32">
        <f t="shared" si="15"/>
        <v>1.08</v>
      </c>
    </row>
    <row r="137" spans="1:13" ht="43.5" customHeight="1">
      <c r="A137" s="4" t="s">
        <v>122</v>
      </c>
      <c r="B137" s="5" t="s">
        <v>324</v>
      </c>
      <c r="C137" s="32">
        <f>SUM(C138:C140)</f>
        <v>927.541</v>
      </c>
      <c r="D137" s="32">
        <f aca="true" t="shared" si="19" ref="D137:L137">SUM(D138:D140)</f>
        <v>0</v>
      </c>
      <c r="E137" s="32">
        <f t="shared" si="19"/>
        <v>0</v>
      </c>
      <c r="F137" s="32">
        <f t="shared" si="18"/>
        <v>0</v>
      </c>
      <c r="G137" s="32">
        <f t="shared" si="19"/>
        <v>0</v>
      </c>
      <c r="H137" s="32">
        <f t="shared" si="19"/>
        <v>0</v>
      </c>
      <c r="I137" s="32">
        <f t="shared" si="19"/>
        <v>0</v>
      </c>
      <c r="J137" s="32">
        <f t="shared" si="19"/>
        <v>0</v>
      </c>
      <c r="K137" s="32">
        <f t="shared" si="19"/>
        <v>0</v>
      </c>
      <c r="L137" s="32">
        <f t="shared" si="19"/>
        <v>0</v>
      </c>
      <c r="M137" s="32">
        <f t="shared" si="15"/>
        <v>927.541</v>
      </c>
    </row>
    <row r="138" spans="1:13" ht="78.75" customHeight="1">
      <c r="A138" s="4" t="s">
        <v>210</v>
      </c>
      <c r="B138" s="8" t="s">
        <v>355</v>
      </c>
      <c r="C138" s="32">
        <f>349.52+72.475</f>
        <v>421.995</v>
      </c>
      <c r="D138" s="32"/>
      <c r="E138" s="32"/>
      <c r="F138" s="32">
        <f t="shared" si="18"/>
        <v>0</v>
      </c>
      <c r="G138" s="94"/>
      <c r="H138" s="32"/>
      <c r="I138" s="32"/>
      <c r="J138" s="32"/>
      <c r="K138" s="32"/>
      <c r="L138" s="32"/>
      <c r="M138" s="32">
        <f t="shared" si="15"/>
        <v>421.995</v>
      </c>
    </row>
    <row r="139" spans="1:13" ht="63" customHeight="1">
      <c r="A139" s="4" t="s">
        <v>210</v>
      </c>
      <c r="B139" s="5" t="s">
        <v>201</v>
      </c>
      <c r="C139" s="32">
        <f>408.6+74.946+4</f>
        <v>487.54600000000005</v>
      </c>
      <c r="D139" s="32"/>
      <c r="E139" s="32"/>
      <c r="F139" s="32">
        <f t="shared" si="18"/>
        <v>0</v>
      </c>
      <c r="G139" s="94"/>
      <c r="H139" s="32"/>
      <c r="I139" s="32"/>
      <c r="J139" s="32"/>
      <c r="K139" s="32"/>
      <c r="L139" s="32"/>
      <c r="M139" s="32">
        <f t="shared" si="15"/>
        <v>487.54600000000005</v>
      </c>
    </row>
    <row r="140" spans="1:13" ht="70.5" customHeight="1">
      <c r="A140" s="4" t="s">
        <v>256</v>
      </c>
      <c r="B140" s="5" t="s">
        <v>202</v>
      </c>
      <c r="C140" s="32">
        <v>18</v>
      </c>
      <c r="D140" s="32"/>
      <c r="E140" s="32"/>
      <c r="F140" s="32">
        <f t="shared" si="18"/>
        <v>0</v>
      </c>
      <c r="G140" s="94"/>
      <c r="H140" s="32"/>
      <c r="I140" s="32"/>
      <c r="J140" s="32"/>
      <c r="K140" s="32"/>
      <c r="L140" s="32"/>
      <c r="M140" s="32">
        <f t="shared" si="15"/>
        <v>18</v>
      </c>
    </row>
    <row r="141" spans="1:13" ht="87.75" customHeight="1">
      <c r="A141" s="4" t="s">
        <v>251</v>
      </c>
      <c r="B141" s="7" t="s">
        <v>33</v>
      </c>
      <c r="C141" s="48">
        <f>30-22.2</f>
        <v>7.800000000000001</v>
      </c>
      <c r="D141" s="48"/>
      <c r="E141" s="48"/>
      <c r="F141" s="32">
        <f t="shared" si="18"/>
        <v>0</v>
      </c>
      <c r="G141" s="32"/>
      <c r="H141" s="48"/>
      <c r="I141" s="48"/>
      <c r="J141" s="48"/>
      <c r="K141" s="48"/>
      <c r="L141" s="48"/>
      <c r="M141" s="32">
        <f t="shared" si="15"/>
        <v>7.800000000000001</v>
      </c>
    </row>
    <row r="142" spans="1:13" ht="67.5" customHeight="1">
      <c r="A142" s="4" t="s">
        <v>367</v>
      </c>
      <c r="B142" s="5" t="s">
        <v>38</v>
      </c>
      <c r="C142" s="32">
        <f>SUM(C143:C154)</f>
        <v>211.434</v>
      </c>
      <c r="D142" s="32">
        <f>SUM(D143:D154)</f>
        <v>0</v>
      </c>
      <c r="E142" s="32">
        <f>SUM(E143:E154)</f>
        <v>0</v>
      </c>
      <c r="F142" s="32">
        <f t="shared" si="18"/>
        <v>405.866</v>
      </c>
      <c r="G142" s="32">
        <f aca="true" t="shared" si="20" ref="G142:M142">SUM(G143:G154)</f>
        <v>0</v>
      </c>
      <c r="H142" s="32">
        <f t="shared" si="20"/>
        <v>0</v>
      </c>
      <c r="I142" s="32">
        <f t="shared" si="20"/>
        <v>0</v>
      </c>
      <c r="J142" s="32">
        <f t="shared" si="20"/>
        <v>405.866</v>
      </c>
      <c r="K142" s="32">
        <f t="shared" si="20"/>
        <v>405.866</v>
      </c>
      <c r="L142" s="32">
        <f t="shared" si="20"/>
        <v>75.86599999999999</v>
      </c>
      <c r="M142" s="32">
        <f t="shared" si="20"/>
        <v>617.3</v>
      </c>
    </row>
    <row r="143" spans="1:13" ht="120.75" customHeight="1">
      <c r="A143" s="4" t="s">
        <v>367</v>
      </c>
      <c r="B143" s="5" t="s">
        <v>315</v>
      </c>
      <c r="C143" s="48">
        <f>32-18+8.9+0.6</f>
        <v>23.5</v>
      </c>
      <c r="D143" s="48"/>
      <c r="E143" s="48"/>
      <c r="F143" s="70">
        <f t="shared" si="18"/>
        <v>135.39999999999998</v>
      </c>
      <c r="G143" s="32"/>
      <c r="H143" s="48"/>
      <c r="I143" s="48"/>
      <c r="J143" s="48">
        <f>18-8.9+60+83.3-17</f>
        <v>135.39999999999998</v>
      </c>
      <c r="K143" s="48">
        <f>18-8.9+60+83.3-17</f>
        <v>135.39999999999998</v>
      </c>
      <c r="L143" s="48">
        <f>18-8.9+83.3-17-70</f>
        <v>5.3999999999999915</v>
      </c>
      <c r="M143" s="71">
        <f t="shared" si="15"/>
        <v>158.89999999999998</v>
      </c>
    </row>
    <row r="144" spans="1:13" ht="94.5" customHeight="1">
      <c r="A144" s="4" t="s">
        <v>367</v>
      </c>
      <c r="B144" s="5" t="s">
        <v>356</v>
      </c>
      <c r="C144" s="48">
        <f>70-2.5+2.5-5.166-37</f>
        <v>27.834000000000003</v>
      </c>
      <c r="D144" s="48"/>
      <c r="E144" s="48"/>
      <c r="F144" s="70">
        <f t="shared" si="18"/>
        <v>5.166</v>
      </c>
      <c r="G144" s="32"/>
      <c r="H144" s="48"/>
      <c r="I144" s="48"/>
      <c r="J144" s="48">
        <v>5.166</v>
      </c>
      <c r="K144" s="48">
        <v>5.166</v>
      </c>
      <c r="L144" s="48">
        <v>5.166</v>
      </c>
      <c r="M144" s="71">
        <f t="shared" si="15"/>
        <v>33</v>
      </c>
    </row>
    <row r="145" spans="1:13" ht="111" customHeight="1" hidden="1">
      <c r="A145" s="4" t="s">
        <v>367</v>
      </c>
      <c r="B145" s="5" t="s">
        <v>28</v>
      </c>
      <c r="C145" s="48">
        <f>19-19</f>
        <v>0</v>
      </c>
      <c r="D145" s="48"/>
      <c r="E145" s="48"/>
      <c r="F145" s="70">
        <f t="shared" si="18"/>
        <v>0</v>
      </c>
      <c r="G145" s="32"/>
      <c r="H145" s="48"/>
      <c r="I145" s="48"/>
      <c r="J145" s="48"/>
      <c r="K145" s="48"/>
      <c r="L145" s="48"/>
      <c r="M145" s="71">
        <f t="shared" si="15"/>
        <v>0</v>
      </c>
    </row>
    <row r="146" spans="1:13" ht="93" customHeight="1">
      <c r="A146" s="4" t="s">
        <v>367</v>
      </c>
      <c r="B146" s="59" t="s">
        <v>35</v>
      </c>
      <c r="C146" s="48">
        <v>45</v>
      </c>
      <c r="D146" s="48"/>
      <c r="E146" s="48"/>
      <c r="F146" s="70"/>
      <c r="G146" s="32"/>
      <c r="H146" s="48"/>
      <c r="I146" s="48"/>
      <c r="J146" s="48"/>
      <c r="K146" s="48"/>
      <c r="L146" s="48"/>
      <c r="M146" s="71">
        <f t="shared" si="15"/>
        <v>45</v>
      </c>
    </row>
    <row r="147" spans="1:13" ht="87" customHeight="1">
      <c r="A147" s="4" t="s">
        <v>367</v>
      </c>
      <c r="B147" s="8" t="s">
        <v>84</v>
      </c>
      <c r="C147" s="48">
        <v>15</v>
      </c>
      <c r="D147" s="48"/>
      <c r="E147" s="48"/>
      <c r="F147" s="70">
        <f t="shared" si="18"/>
        <v>0</v>
      </c>
      <c r="G147" s="32"/>
      <c r="H147" s="48"/>
      <c r="I147" s="48"/>
      <c r="J147" s="48"/>
      <c r="K147" s="48"/>
      <c r="L147" s="48"/>
      <c r="M147" s="71">
        <f t="shared" si="15"/>
        <v>15</v>
      </c>
    </row>
    <row r="148" spans="1:13" ht="70.5" customHeight="1" hidden="1">
      <c r="A148" s="4" t="s">
        <v>367</v>
      </c>
      <c r="B148" s="5" t="s">
        <v>163</v>
      </c>
      <c r="C148" s="48"/>
      <c r="D148" s="48"/>
      <c r="E148" s="48"/>
      <c r="F148" s="70">
        <f t="shared" si="18"/>
        <v>0</v>
      </c>
      <c r="G148" s="32"/>
      <c r="H148" s="48"/>
      <c r="I148" s="48"/>
      <c r="J148" s="48"/>
      <c r="K148" s="48"/>
      <c r="L148" s="48"/>
      <c r="M148" s="71">
        <f t="shared" si="15"/>
        <v>0</v>
      </c>
    </row>
    <row r="149" spans="1:13" ht="70.5" customHeight="1" hidden="1">
      <c r="A149" s="4" t="s">
        <v>367</v>
      </c>
      <c r="B149" s="5" t="s">
        <v>316</v>
      </c>
      <c r="C149" s="48"/>
      <c r="D149" s="48"/>
      <c r="E149" s="48"/>
      <c r="F149" s="70">
        <f t="shared" si="18"/>
        <v>0</v>
      </c>
      <c r="G149" s="32"/>
      <c r="H149" s="48"/>
      <c r="I149" s="48"/>
      <c r="J149" s="48"/>
      <c r="K149" s="48"/>
      <c r="L149" s="48"/>
      <c r="M149" s="71">
        <f t="shared" si="15"/>
        <v>0</v>
      </c>
    </row>
    <row r="150" spans="1:13" ht="102" customHeight="1" hidden="1">
      <c r="A150" s="4" t="s">
        <v>367</v>
      </c>
      <c r="B150" s="5" t="s">
        <v>36</v>
      </c>
      <c r="C150" s="48">
        <f>34.6-25-9.6</f>
        <v>0</v>
      </c>
      <c r="D150" s="48"/>
      <c r="E150" s="48"/>
      <c r="F150" s="70">
        <f t="shared" si="18"/>
        <v>0</v>
      </c>
      <c r="G150" s="32"/>
      <c r="H150" s="48"/>
      <c r="I150" s="48"/>
      <c r="J150" s="48"/>
      <c r="K150" s="48"/>
      <c r="L150" s="48"/>
      <c r="M150" s="71">
        <f t="shared" si="15"/>
        <v>0</v>
      </c>
    </row>
    <row r="151" spans="1:13" ht="108" customHeight="1" hidden="1">
      <c r="A151" s="4" t="s">
        <v>367</v>
      </c>
      <c r="B151" s="5" t="s">
        <v>37</v>
      </c>
      <c r="C151" s="48">
        <f>110-110</f>
        <v>0</v>
      </c>
      <c r="D151" s="48"/>
      <c r="E151" s="48"/>
      <c r="F151" s="70">
        <f t="shared" si="18"/>
        <v>0</v>
      </c>
      <c r="G151" s="32"/>
      <c r="H151" s="48"/>
      <c r="I151" s="48"/>
      <c r="J151" s="48"/>
      <c r="K151" s="48"/>
      <c r="L151" s="48"/>
      <c r="M151" s="71">
        <f t="shared" si="15"/>
        <v>0</v>
      </c>
    </row>
    <row r="152" spans="1:13" ht="89.25" customHeight="1">
      <c r="A152" s="4" t="s">
        <v>367</v>
      </c>
      <c r="B152" s="59" t="s">
        <v>357</v>
      </c>
      <c r="C152" s="48">
        <f>119-18.9</f>
        <v>100.1</v>
      </c>
      <c r="D152" s="48"/>
      <c r="E152" s="48"/>
      <c r="F152" s="70">
        <f t="shared" si="18"/>
        <v>0</v>
      </c>
      <c r="G152" s="32"/>
      <c r="H152" s="48"/>
      <c r="I152" s="48"/>
      <c r="J152" s="48"/>
      <c r="K152" s="48"/>
      <c r="L152" s="48"/>
      <c r="M152" s="71">
        <f t="shared" si="15"/>
        <v>100.1</v>
      </c>
    </row>
    <row r="153" spans="1:13" ht="110.25" customHeight="1">
      <c r="A153" s="4" t="s">
        <v>367</v>
      </c>
      <c r="B153" s="59" t="s">
        <v>302</v>
      </c>
      <c r="C153" s="48"/>
      <c r="D153" s="48"/>
      <c r="E153" s="48"/>
      <c r="F153" s="70">
        <f>G153+J153</f>
        <v>15.3</v>
      </c>
      <c r="G153" s="32"/>
      <c r="H153" s="48"/>
      <c r="I153" s="48"/>
      <c r="J153" s="48">
        <f>19-3.7</f>
        <v>15.3</v>
      </c>
      <c r="K153" s="48">
        <f>19-3.7</f>
        <v>15.3</v>
      </c>
      <c r="L153" s="48">
        <f>19-3.7</f>
        <v>15.3</v>
      </c>
      <c r="M153" s="71">
        <f>C153+F153</f>
        <v>15.3</v>
      </c>
    </row>
    <row r="154" spans="1:13" ht="100.5" customHeight="1">
      <c r="A154" s="4" t="s">
        <v>367</v>
      </c>
      <c r="B154" s="59" t="s">
        <v>313</v>
      </c>
      <c r="C154" s="48"/>
      <c r="D154" s="48"/>
      <c r="E154" s="48"/>
      <c r="F154" s="70">
        <f t="shared" si="18"/>
        <v>250</v>
      </c>
      <c r="G154" s="32"/>
      <c r="H154" s="48"/>
      <c r="I154" s="48"/>
      <c r="J154" s="32">
        <v>250</v>
      </c>
      <c r="K154" s="32">
        <v>250</v>
      </c>
      <c r="L154" s="32">
        <f>250-200</f>
        <v>50</v>
      </c>
      <c r="M154" s="71">
        <f t="shared" si="15"/>
        <v>250</v>
      </c>
    </row>
    <row r="155" spans="1:13" ht="97.5" customHeight="1">
      <c r="A155" s="4" t="s">
        <v>12</v>
      </c>
      <c r="B155" s="10" t="s">
        <v>56</v>
      </c>
      <c r="C155" s="32"/>
      <c r="D155" s="32"/>
      <c r="E155" s="32"/>
      <c r="F155" s="70">
        <f t="shared" si="18"/>
        <v>32.9</v>
      </c>
      <c r="G155" s="32">
        <v>32.9</v>
      </c>
      <c r="H155" s="32"/>
      <c r="I155" s="32"/>
      <c r="J155" s="32"/>
      <c r="K155" s="32"/>
      <c r="L155" s="32"/>
      <c r="M155" s="71">
        <f t="shared" si="15"/>
        <v>32.9</v>
      </c>
    </row>
    <row r="156" spans="1:14" ht="46.5" customHeight="1">
      <c r="A156" s="34" t="s">
        <v>140</v>
      </c>
      <c r="B156" s="35" t="s">
        <v>183</v>
      </c>
      <c r="C156" s="40">
        <f>C158+C159+C176+C180+C185+C198+C200</f>
        <v>8184.4278</v>
      </c>
      <c r="D156" s="40">
        <f>D158+D159+D176+D180+D185+D198+D200</f>
        <v>517.559</v>
      </c>
      <c r="E156" s="40">
        <f>E158+E159+E176+E180+E185+E198+E200</f>
        <v>18.557</v>
      </c>
      <c r="F156" s="109">
        <f>G156+J156</f>
        <v>14176.987969999998</v>
      </c>
      <c r="G156" s="40">
        <f>G158+G159+G176+G180+G185+G198+G200+G177</f>
        <v>1314.51826</v>
      </c>
      <c r="H156" s="40">
        <f>H158+H159+H176+H180+H185+H198+H200</f>
        <v>0</v>
      </c>
      <c r="I156" s="40">
        <f>I158+I159+I176+I180+I185+I198+I200</f>
        <v>0</v>
      </c>
      <c r="J156" s="40">
        <f>J158+J159+J176+J180+J185+J198+J200+J179+J177+J178</f>
        <v>12862.469709999998</v>
      </c>
      <c r="K156" s="40">
        <f>K158+K159+K176+K180+K185+K198+K200+K179+K177+K178</f>
        <v>5965.1454699999995</v>
      </c>
      <c r="L156" s="40">
        <f>L158+L159+L176+L180+L185+L198+L200+L179+L177+L178</f>
        <v>1416.1261800000002</v>
      </c>
      <c r="M156" s="40">
        <f>C156+F156</f>
        <v>22361.41577</v>
      </c>
      <c r="N156" s="55">
        <f>F156-13625</f>
        <v>551.9879699999983</v>
      </c>
    </row>
    <row r="157" spans="1:13" s="104" customFormat="1" ht="47.25" customHeight="1">
      <c r="A157" s="102"/>
      <c r="B157" s="53" t="s">
        <v>102</v>
      </c>
      <c r="C157" s="103"/>
      <c r="D157" s="103"/>
      <c r="E157" s="103"/>
      <c r="F157" s="103">
        <f t="shared" si="18"/>
        <v>7997.199920000001</v>
      </c>
      <c r="G157" s="103">
        <f>G163+G167+G172+G182+G183+G184</f>
        <v>992.28639</v>
      </c>
      <c r="H157" s="103">
        <f>H163+H167+H172+H182+H183+H184</f>
        <v>0</v>
      </c>
      <c r="I157" s="103">
        <f>I163+I167+I172+I182+I183+I184</f>
        <v>0</v>
      </c>
      <c r="J157" s="103">
        <f>J163+J167+J172+J182+J183+J184+J177+J164+J173+J178</f>
        <v>7004.913530000001</v>
      </c>
      <c r="K157" s="103">
        <f>K163+K167+K172+K182+K183+K184+K177+K164+K173+K178</f>
        <v>408.35</v>
      </c>
      <c r="L157" s="103">
        <f>L163+L167+L172+L182+L183+L184+L177+L164+L173+L178</f>
        <v>408.35</v>
      </c>
      <c r="M157" s="103">
        <f aca="true" t="shared" si="21" ref="M157:M170">C157+F157</f>
        <v>7997.199920000001</v>
      </c>
    </row>
    <row r="158" spans="1:13" ht="60.75" customHeight="1">
      <c r="A158" s="4" t="s">
        <v>205</v>
      </c>
      <c r="B158" s="8" t="s">
        <v>135</v>
      </c>
      <c r="C158" s="42">
        <f>759.2+1.9878+2+28.7-2.6</f>
        <v>789.2878000000001</v>
      </c>
      <c r="D158" s="42">
        <f>475.914-6.611+27+2.6+0.156</f>
        <v>499.059</v>
      </c>
      <c r="E158" s="42">
        <v>18.557</v>
      </c>
      <c r="F158" s="32">
        <f t="shared" si="18"/>
        <v>4.99089</v>
      </c>
      <c r="G158" s="42"/>
      <c r="H158" s="42"/>
      <c r="I158" s="42"/>
      <c r="J158" s="42">
        <v>4.99089</v>
      </c>
      <c r="K158" s="42">
        <v>4.99089</v>
      </c>
      <c r="L158" s="42"/>
      <c r="M158" s="71">
        <f>C158+F158</f>
        <v>794.2786900000001</v>
      </c>
    </row>
    <row r="159" spans="1:13" ht="45" customHeight="1">
      <c r="A159" s="4" t="s">
        <v>317</v>
      </c>
      <c r="B159" s="77" t="s">
        <v>172</v>
      </c>
      <c r="C159" s="32">
        <f>SUM(C160:C174)</f>
        <v>6970.72</v>
      </c>
      <c r="D159" s="32">
        <f>SUM(D160:D174)</f>
        <v>18.5</v>
      </c>
      <c r="E159" s="32">
        <f>SUM(E160:E174)</f>
        <v>0</v>
      </c>
      <c r="F159" s="32">
        <f t="shared" si="18"/>
        <v>5499.303169999999</v>
      </c>
      <c r="G159" s="32">
        <f>SUM(G160:G175)</f>
        <v>326.81614</v>
      </c>
      <c r="H159" s="32">
        <f>SUM(H160:H174)</f>
        <v>0</v>
      </c>
      <c r="I159" s="32">
        <f>SUM(I160:I174)</f>
        <v>0</v>
      </c>
      <c r="J159" s="32">
        <f>SUM(J160:J174)</f>
        <v>5172.487029999999</v>
      </c>
      <c r="K159" s="56">
        <f>SUM(K160:K174)</f>
        <v>4280.63525</v>
      </c>
      <c r="L159" s="32">
        <f>SUM(L160:L174)</f>
        <v>919.3867100000001</v>
      </c>
      <c r="M159" s="32">
        <f t="shared" si="21"/>
        <v>12470.02317</v>
      </c>
    </row>
    <row r="160" spans="1:13" s="28" customFormat="1" ht="45.75" customHeight="1">
      <c r="A160" s="4" t="s">
        <v>98</v>
      </c>
      <c r="B160" s="7" t="s">
        <v>51</v>
      </c>
      <c r="C160" s="32">
        <f>108+150+8.14-1</f>
        <v>265.14</v>
      </c>
      <c r="D160" s="96"/>
      <c r="E160" s="96"/>
      <c r="F160" s="70">
        <f t="shared" si="18"/>
        <v>0</v>
      </c>
      <c r="G160" s="32"/>
      <c r="H160" s="32"/>
      <c r="I160" s="32"/>
      <c r="J160" s="32"/>
      <c r="K160" s="32"/>
      <c r="L160" s="32"/>
      <c r="M160" s="71">
        <f t="shared" si="21"/>
        <v>265.14</v>
      </c>
    </row>
    <row r="161" spans="1:13" ht="48.75" customHeight="1">
      <c r="A161" s="4" t="s">
        <v>219</v>
      </c>
      <c r="B161" s="8" t="s">
        <v>96</v>
      </c>
      <c r="C161" s="32"/>
      <c r="D161" s="32"/>
      <c r="E161" s="32"/>
      <c r="F161" s="70">
        <f>G161+J161</f>
        <v>2129.34887</v>
      </c>
      <c r="G161" s="32"/>
      <c r="H161" s="32"/>
      <c r="I161" s="32"/>
      <c r="J161" s="32">
        <f>370-270+155+47.78+12.57387+7.5+300+5-100+800+19.895+250-5+100+3+283.6+150</f>
        <v>2129.34887</v>
      </c>
      <c r="K161" s="32">
        <f>370-270+155+47.78+12.57387+7.5+300+5-100+800+19.895+250-5+100+3+283.6+150</f>
        <v>2129.34887</v>
      </c>
      <c r="L161" s="32">
        <f>47.78+12.57387+400-400+200+18+62+2.3-17</f>
        <v>325.65387000000004</v>
      </c>
      <c r="M161" s="71">
        <f t="shared" si="21"/>
        <v>2129.34887</v>
      </c>
    </row>
    <row r="162" spans="1:13" s="72" customFormat="1" ht="121.5" customHeight="1" hidden="1">
      <c r="A162" s="4" t="s">
        <v>219</v>
      </c>
      <c r="B162" s="8" t="s">
        <v>161</v>
      </c>
      <c r="C162" s="32"/>
      <c r="D162" s="32"/>
      <c r="E162" s="32"/>
      <c r="F162" s="70">
        <f t="shared" si="18"/>
        <v>0</v>
      </c>
      <c r="G162" s="32"/>
      <c r="H162" s="32"/>
      <c r="I162" s="32"/>
      <c r="J162" s="32"/>
      <c r="K162" s="32"/>
      <c r="L162" s="32"/>
      <c r="M162" s="71">
        <f t="shared" si="21"/>
        <v>0</v>
      </c>
    </row>
    <row r="163" spans="1:13" ht="47.25" customHeight="1">
      <c r="A163" s="4" t="s">
        <v>219</v>
      </c>
      <c r="B163" s="8" t="s">
        <v>273</v>
      </c>
      <c r="C163" s="32"/>
      <c r="D163" s="32"/>
      <c r="E163" s="32"/>
      <c r="F163" s="32">
        <f t="shared" si="18"/>
        <v>467.65572</v>
      </c>
      <c r="G163" s="94"/>
      <c r="H163" s="32"/>
      <c r="I163" s="32"/>
      <c r="J163" s="32">
        <f>415.61172+52.044</f>
        <v>467.65572</v>
      </c>
      <c r="K163" s="32"/>
      <c r="L163" s="32"/>
      <c r="M163" s="32">
        <f t="shared" si="21"/>
        <v>467.65572</v>
      </c>
    </row>
    <row r="164" spans="1:13" ht="81" customHeight="1">
      <c r="A164" s="4" t="s">
        <v>219</v>
      </c>
      <c r="B164" s="8" t="s">
        <v>344</v>
      </c>
      <c r="C164" s="32"/>
      <c r="D164" s="32"/>
      <c r="E164" s="32"/>
      <c r="F164" s="32">
        <f>G164+J164</f>
        <v>97</v>
      </c>
      <c r="G164" s="94"/>
      <c r="H164" s="32"/>
      <c r="I164" s="32"/>
      <c r="J164" s="32">
        <v>97</v>
      </c>
      <c r="K164" s="32">
        <v>97</v>
      </c>
      <c r="L164" s="32">
        <v>97</v>
      </c>
      <c r="M164" s="32">
        <f>C164+F164</f>
        <v>97</v>
      </c>
    </row>
    <row r="165" spans="1:13" ht="76.5" customHeight="1">
      <c r="A165" s="4" t="s">
        <v>289</v>
      </c>
      <c r="B165" s="8" t="s">
        <v>52</v>
      </c>
      <c r="C165" s="32">
        <f>1000+54-54-400</f>
        <v>600</v>
      </c>
      <c r="D165" s="32"/>
      <c r="E165" s="32"/>
      <c r="F165" s="70">
        <f t="shared" si="18"/>
        <v>0</v>
      </c>
      <c r="G165" s="32"/>
      <c r="H165" s="32"/>
      <c r="I165" s="32"/>
      <c r="J165" s="32"/>
      <c r="K165" s="32"/>
      <c r="L165" s="32"/>
      <c r="M165" s="71">
        <f t="shared" si="21"/>
        <v>600</v>
      </c>
    </row>
    <row r="166" spans="1:13" s="72" customFormat="1" ht="53.25" customHeight="1">
      <c r="A166" s="4" t="s">
        <v>6</v>
      </c>
      <c r="B166" s="8" t="s">
        <v>303</v>
      </c>
      <c r="C166" s="32">
        <f>200+156-200-0.72</f>
        <v>155.28</v>
      </c>
      <c r="D166" s="32"/>
      <c r="E166" s="32"/>
      <c r="F166" s="70">
        <f t="shared" si="18"/>
        <v>615.59884</v>
      </c>
      <c r="G166" s="32"/>
      <c r="H166" s="32"/>
      <c r="I166" s="32"/>
      <c r="J166" s="32">
        <f>821-30+99.99884-100-133-7.3-35.1</f>
        <v>615.59884</v>
      </c>
      <c r="K166" s="32">
        <f>821-30+99.99884-100-133-7.3-35.1</f>
        <v>615.59884</v>
      </c>
      <c r="L166" s="32">
        <f>167-20-30+99.99884-15-33</f>
        <v>168.99884</v>
      </c>
      <c r="M166" s="71">
        <f t="shared" si="21"/>
        <v>770.87884</v>
      </c>
    </row>
    <row r="167" spans="1:13" s="19" customFormat="1" ht="39.75" customHeight="1">
      <c r="A167" s="4" t="s">
        <v>6</v>
      </c>
      <c r="B167" s="8" t="s">
        <v>274</v>
      </c>
      <c r="C167" s="32"/>
      <c r="D167" s="32"/>
      <c r="E167" s="32"/>
      <c r="F167" s="70">
        <f t="shared" si="18"/>
        <v>424.19606</v>
      </c>
      <c r="G167" s="32"/>
      <c r="H167" s="32"/>
      <c r="I167" s="32"/>
      <c r="J167" s="32">
        <v>424.19606</v>
      </c>
      <c r="K167" s="32"/>
      <c r="L167" s="32"/>
      <c r="M167" s="71">
        <f t="shared" si="21"/>
        <v>424.19606</v>
      </c>
    </row>
    <row r="168" spans="1:13" ht="42.75" customHeight="1">
      <c r="A168" s="4" t="s">
        <v>286</v>
      </c>
      <c r="B168" s="5" t="s">
        <v>53</v>
      </c>
      <c r="C168" s="32">
        <v>98</v>
      </c>
      <c r="D168" s="32"/>
      <c r="E168" s="32"/>
      <c r="F168" s="70">
        <f t="shared" si="18"/>
        <v>869.86</v>
      </c>
      <c r="G168" s="32"/>
      <c r="H168" s="32"/>
      <c r="I168" s="32"/>
      <c r="J168" s="32">
        <f>800-55-8.14+133</f>
        <v>869.86</v>
      </c>
      <c r="K168" s="32">
        <f>800-55-8.14+133</f>
        <v>869.86</v>
      </c>
      <c r="L168" s="103">
        <f>200-8.14-134</f>
        <v>57.860000000000014</v>
      </c>
      <c r="M168" s="71">
        <f t="shared" si="21"/>
        <v>967.86</v>
      </c>
    </row>
    <row r="169" spans="1:13" ht="3" customHeight="1" hidden="1">
      <c r="A169" s="4" t="s">
        <v>286</v>
      </c>
      <c r="B169" s="5" t="s">
        <v>146</v>
      </c>
      <c r="C169" s="32"/>
      <c r="D169" s="32"/>
      <c r="E169" s="32"/>
      <c r="F169" s="32">
        <f t="shared" si="18"/>
        <v>0</v>
      </c>
      <c r="G169" s="94"/>
      <c r="H169" s="32"/>
      <c r="I169" s="32"/>
      <c r="J169" s="32"/>
      <c r="K169" s="32"/>
      <c r="L169" s="32"/>
      <c r="M169" s="71">
        <f t="shared" si="21"/>
        <v>0</v>
      </c>
    </row>
    <row r="170" spans="1:13" ht="60" customHeight="1">
      <c r="A170" s="4" t="s">
        <v>220</v>
      </c>
      <c r="B170" s="5" t="s">
        <v>358</v>
      </c>
      <c r="C170" s="32">
        <v>25</v>
      </c>
      <c r="D170" s="32">
        <v>18.5</v>
      </c>
      <c r="E170" s="32"/>
      <c r="F170" s="70"/>
      <c r="G170" s="32"/>
      <c r="H170" s="32"/>
      <c r="I170" s="32"/>
      <c r="J170" s="32"/>
      <c r="K170" s="32"/>
      <c r="L170" s="32"/>
      <c r="M170" s="71">
        <f t="shared" si="21"/>
        <v>25</v>
      </c>
    </row>
    <row r="171" spans="1:13" s="72" customFormat="1" ht="77.25" customHeight="1">
      <c r="A171" s="4" t="s">
        <v>220</v>
      </c>
      <c r="B171" s="5" t="s">
        <v>187</v>
      </c>
      <c r="C171" s="32">
        <f>5950.6-65-6.5-50-1.8</f>
        <v>5827.3</v>
      </c>
      <c r="D171" s="32"/>
      <c r="E171" s="32"/>
      <c r="F171" s="70">
        <f>G171+J171</f>
        <v>270.91499999999996</v>
      </c>
      <c r="G171" s="32"/>
      <c r="H171" s="32"/>
      <c r="I171" s="32"/>
      <c r="J171" s="32">
        <f>179.4+115-19.895-10+50+30+7.65-82.3+1.06</f>
        <v>270.91499999999996</v>
      </c>
      <c r="K171" s="32">
        <f>179.4+115-19.895-10+50+30+7.65-82.3+1.06</f>
        <v>270.91499999999996</v>
      </c>
      <c r="L171" s="32">
        <f>179.4-2-10+30-19-50-82.3-35.406+50-35.69-2.48</f>
        <v>22.52400000000001</v>
      </c>
      <c r="M171" s="71">
        <f aca="true" t="shared" si="22" ref="M171:M241">C171+F171</f>
        <v>6098.215</v>
      </c>
    </row>
    <row r="172" spans="1:13" s="72" customFormat="1" ht="56.25" customHeight="1">
      <c r="A172" s="4" t="s">
        <v>220</v>
      </c>
      <c r="B172" s="5" t="s">
        <v>39</v>
      </c>
      <c r="C172" s="32"/>
      <c r="D172" s="48"/>
      <c r="E172" s="48"/>
      <c r="F172" s="70">
        <f>G172+J172</f>
        <v>326.81614</v>
      </c>
      <c r="G172" s="32">
        <f>129.00614+197.81</f>
        <v>326.81614</v>
      </c>
      <c r="H172" s="32"/>
      <c r="I172" s="32"/>
      <c r="J172" s="32"/>
      <c r="K172" s="32"/>
      <c r="L172" s="32"/>
      <c r="M172" s="71">
        <f t="shared" si="22"/>
        <v>326.81614</v>
      </c>
    </row>
    <row r="173" spans="1:13" s="72" customFormat="1" ht="63" customHeight="1">
      <c r="A173" s="4" t="s">
        <v>220</v>
      </c>
      <c r="B173" s="5" t="s">
        <v>345</v>
      </c>
      <c r="C173" s="32"/>
      <c r="D173" s="48"/>
      <c r="E173" s="48"/>
      <c r="F173" s="70">
        <f>G173+J173</f>
        <v>247.35</v>
      </c>
      <c r="G173" s="32"/>
      <c r="H173" s="32"/>
      <c r="I173" s="32"/>
      <c r="J173" s="32">
        <v>247.35</v>
      </c>
      <c r="K173" s="32">
        <v>247.35</v>
      </c>
      <c r="L173" s="32">
        <v>247.35</v>
      </c>
      <c r="M173" s="71">
        <f>C173+F173</f>
        <v>247.35</v>
      </c>
    </row>
    <row r="174" spans="1:13" ht="96.75" customHeight="1">
      <c r="A174" s="4" t="s">
        <v>8</v>
      </c>
      <c r="B174" s="5" t="s">
        <v>10</v>
      </c>
      <c r="C174" s="32"/>
      <c r="D174" s="32"/>
      <c r="E174" s="32"/>
      <c r="F174" s="70">
        <f>G174+J174</f>
        <v>50.56254</v>
      </c>
      <c r="G174" s="44"/>
      <c r="H174" s="32"/>
      <c r="I174" s="32"/>
      <c r="J174" s="32">
        <v>50.56254</v>
      </c>
      <c r="K174" s="32">
        <v>50.56254</v>
      </c>
      <c r="L174" s="32"/>
      <c r="M174" s="32">
        <f t="shared" si="22"/>
        <v>50.56254</v>
      </c>
    </row>
    <row r="175" spans="1:13" ht="185.25" customHeight="1" hidden="1">
      <c r="A175" s="4" t="s">
        <v>300</v>
      </c>
      <c r="B175" s="5" t="s">
        <v>307</v>
      </c>
      <c r="C175" s="32"/>
      <c r="D175" s="32"/>
      <c r="E175" s="32"/>
      <c r="F175" s="70">
        <f t="shared" si="18"/>
        <v>0</v>
      </c>
      <c r="G175" s="32"/>
      <c r="H175" s="32"/>
      <c r="I175" s="32"/>
      <c r="J175" s="32"/>
      <c r="K175" s="32"/>
      <c r="L175" s="32"/>
      <c r="M175" s="71">
        <f t="shared" si="22"/>
        <v>0</v>
      </c>
    </row>
    <row r="176" spans="1:13" ht="43.5" customHeight="1">
      <c r="A176" s="4" t="s">
        <v>223</v>
      </c>
      <c r="B176" s="5" t="s">
        <v>95</v>
      </c>
      <c r="C176" s="32"/>
      <c r="D176" s="32"/>
      <c r="E176" s="32"/>
      <c r="F176" s="32">
        <f>G176+J176</f>
        <v>1046.2798599999996</v>
      </c>
      <c r="G176" s="32"/>
      <c r="H176" s="32"/>
      <c r="I176" s="32"/>
      <c r="J176" s="32">
        <f>1105.5+273.53271+38.09153+9.71442+66.2+4.56127+2.40593-14.81+5.31-222.626-15-8-12-7.65+287.18-287.18-3-1.5-0.5-173.5-0.45</f>
        <v>1046.2798599999996</v>
      </c>
      <c r="K176" s="32">
        <f>1105.5+273.53271+38.09153+9.71442+66.2+4.56127+2.40593-14.81+5.31-222.626-15-8-12-7.65+287.18-287.18-3-1.5-0.5-173.5-0.45</f>
        <v>1046.2798599999996</v>
      </c>
      <c r="L176" s="103">
        <f>400+20-220-2.626-8-189.374</f>
        <v>0</v>
      </c>
      <c r="M176" s="32">
        <f t="shared" si="22"/>
        <v>1046.2798599999996</v>
      </c>
    </row>
    <row r="177" spans="1:13" ht="51.75" customHeight="1">
      <c r="A177" s="4" t="s">
        <v>223</v>
      </c>
      <c r="B177" s="5" t="s">
        <v>17</v>
      </c>
      <c r="C177" s="32"/>
      <c r="D177" s="32"/>
      <c r="E177" s="32"/>
      <c r="F177" s="32">
        <f t="shared" si="18"/>
        <v>4000.3</v>
      </c>
      <c r="G177" s="94"/>
      <c r="H177" s="32"/>
      <c r="I177" s="32"/>
      <c r="J177" s="32">
        <v>4000.3</v>
      </c>
      <c r="K177" s="32"/>
      <c r="L177" s="32"/>
      <c r="M177" s="32">
        <f t="shared" si="22"/>
        <v>4000.3</v>
      </c>
    </row>
    <row r="178" spans="1:13" ht="66.75" customHeight="1">
      <c r="A178" s="4" t="s">
        <v>223</v>
      </c>
      <c r="B178" s="5" t="s">
        <v>346</v>
      </c>
      <c r="C178" s="32"/>
      <c r="D178" s="32"/>
      <c r="E178" s="32"/>
      <c r="F178" s="32">
        <f>G178+J178</f>
        <v>64</v>
      </c>
      <c r="G178" s="94"/>
      <c r="H178" s="32"/>
      <c r="I178" s="32"/>
      <c r="J178" s="32">
        <v>64</v>
      </c>
      <c r="K178" s="32">
        <v>64</v>
      </c>
      <c r="L178" s="32">
        <v>64</v>
      </c>
      <c r="M178" s="32">
        <f>C178+F178</f>
        <v>64</v>
      </c>
    </row>
    <row r="179" spans="1:13" ht="60" customHeight="1">
      <c r="A179" s="4" t="s">
        <v>54</v>
      </c>
      <c r="B179" s="9" t="s">
        <v>55</v>
      </c>
      <c r="C179" s="32"/>
      <c r="D179" s="32"/>
      <c r="E179" s="32"/>
      <c r="F179" s="70">
        <f t="shared" si="18"/>
        <v>0</v>
      </c>
      <c r="G179" s="32"/>
      <c r="H179" s="32"/>
      <c r="I179" s="32"/>
      <c r="J179" s="32">
        <f>2.626-2-0.626</f>
        <v>0</v>
      </c>
      <c r="K179" s="32">
        <f>2.626-2-0.626</f>
        <v>0</v>
      </c>
      <c r="L179" s="32">
        <f>2.626-2-0.626</f>
        <v>0</v>
      </c>
      <c r="M179" s="73">
        <f t="shared" si="22"/>
        <v>0</v>
      </c>
    </row>
    <row r="180" spans="1:13" ht="39" customHeight="1">
      <c r="A180" s="4" t="s">
        <v>122</v>
      </c>
      <c r="B180" s="8" t="s">
        <v>324</v>
      </c>
      <c r="C180" s="32">
        <f>SUM(C181:C183)</f>
        <v>0</v>
      </c>
      <c r="D180" s="32">
        <f aca="true" t="shared" si="23" ref="D180:L180">SUM(D181:D183)</f>
        <v>0</v>
      </c>
      <c r="E180" s="32">
        <f t="shared" si="23"/>
        <v>0</v>
      </c>
      <c r="F180" s="32">
        <f t="shared" si="18"/>
        <v>2607.8356999999996</v>
      </c>
      <c r="G180" s="32">
        <f>SUM(G181:G184)</f>
        <v>842.6702500000001</v>
      </c>
      <c r="H180" s="32">
        <f t="shared" si="23"/>
        <v>0</v>
      </c>
      <c r="I180" s="32">
        <f t="shared" si="23"/>
        <v>0</v>
      </c>
      <c r="J180" s="32">
        <f>SUM(J181:J184)</f>
        <v>1765.1654499999997</v>
      </c>
      <c r="K180" s="32">
        <f t="shared" si="23"/>
        <v>0</v>
      </c>
      <c r="L180" s="32">
        <f t="shared" si="23"/>
        <v>0</v>
      </c>
      <c r="M180" s="32">
        <f t="shared" si="22"/>
        <v>2607.8356999999996</v>
      </c>
    </row>
    <row r="181" spans="1:13" ht="88.5" customHeight="1">
      <c r="A181" s="4" t="s">
        <v>221</v>
      </c>
      <c r="B181" s="5" t="s">
        <v>364</v>
      </c>
      <c r="C181" s="32"/>
      <c r="D181" s="32"/>
      <c r="E181" s="32"/>
      <c r="F181" s="32">
        <f t="shared" si="18"/>
        <v>237.95369999999997</v>
      </c>
      <c r="G181" s="32">
        <f>63+114.2</f>
        <v>177.2</v>
      </c>
      <c r="H181" s="32"/>
      <c r="I181" s="32"/>
      <c r="J181" s="32">
        <f>28.0037+3+29.75</f>
        <v>60.753699999999995</v>
      </c>
      <c r="K181" s="32"/>
      <c r="L181" s="32"/>
      <c r="M181" s="32">
        <f t="shared" si="22"/>
        <v>237.95369999999997</v>
      </c>
    </row>
    <row r="182" spans="1:13" ht="112.5" customHeight="1">
      <c r="A182" s="4" t="s">
        <v>221</v>
      </c>
      <c r="B182" s="5" t="s">
        <v>325</v>
      </c>
      <c r="C182" s="32"/>
      <c r="D182" s="32"/>
      <c r="E182" s="32"/>
      <c r="F182" s="32">
        <f t="shared" si="18"/>
        <v>1676.4279999999999</v>
      </c>
      <c r="G182" s="32">
        <f>397.824+58.03225-0.024+1.363</f>
        <v>457.19525</v>
      </c>
      <c r="H182" s="32"/>
      <c r="I182" s="32"/>
      <c r="J182" s="32">
        <f>845.376+285.39875+0.024+88.434</f>
        <v>1219.23275</v>
      </c>
      <c r="K182" s="32"/>
      <c r="L182" s="32"/>
      <c r="M182" s="32">
        <f t="shared" si="22"/>
        <v>1676.4279999999999</v>
      </c>
    </row>
    <row r="183" spans="1:13" ht="113.25" customHeight="1">
      <c r="A183" s="4" t="s">
        <v>221</v>
      </c>
      <c r="B183" s="5" t="s">
        <v>326</v>
      </c>
      <c r="C183" s="32"/>
      <c r="D183" s="32"/>
      <c r="E183" s="32"/>
      <c r="F183" s="32">
        <f t="shared" si="18"/>
        <v>546</v>
      </c>
      <c r="G183" s="32">
        <v>174.7</v>
      </c>
      <c r="H183" s="32"/>
      <c r="I183" s="32"/>
      <c r="J183" s="32">
        <v>371.3</v>
      </c>
      <c r="K183" s="32"/>
      <c r="L183" s="32"/>
      <c r="M183" s="32">
        <f t="shared" si="22"/>
        <v>546</v>
      </c>
    </row>
    <row r="184" spans="1:13" ht="134.25" customHeight="1">
      <c r="A184" s="4" t="s">
        <v>221</v>
      </c>
      <c r="B184" s="5" t="s">
        <v>60</v>
      </c>
      <c r="C184" s="32"/>
      <c r="D184" s="32"/>
      <c r="E184" s="32"/>
      <c r="F184" s="32">
        <f>G184+J184</f>
        <v>147.454</v>
      </c>
      <c r="G184" s="32">
        <v>33.575</v>
      </c>
      <c r="H184" s="32"/>
      <c r="I184" s="32"/>
      <c r="J184" s="32">
        <v>113.879</v>
      </c>
      <c r="K184" s="32"/>
      <c r="L184" s="32"/>
      <c r="M184" s="32">
        <f>C184+F184</f>
        <v>147.454</v>
      </c>
    </row>
    <row r="185" spans="1:13" ht="42" customHeight="1">
      <c r="A185" s="4" t="s">
        <v>251</v>
      </c>
      <c r="B185" s="10" t="s">
        <v>276</v>
      </c>
      <c r="C185" s="32">
        <f>SUM(C186:C197)</f>
        <v>424.42</v>
      </c>
      <c r="D185" s="32">
        <f>SUM(D186:D197)</f>
        <v>0</v>
      </c>
      <c r="E185" s="32">
        <f>SUM(E186:E197)</f>
        <v>0</v>
      </c>
      <c r="F185" s="32">
        <f>G185+J185</f>
        <v>569.23947</v>
      </c>
      <c r="G185" s="32">
        <f aca="true" t="shared" si="24" ref="G185:L185">SUM(G186:G197)</f>
        <v>0</v>
      </c>
      <c r="H185" s="32">
        <f t="shared" si="24"/>
        <v>0</v>
      </c>
      <c r="I185" s="32">
        <f t="shared" si="24"/>
        <v>0</v>
      </c>
      <c r="J185" s="32">
        <f t="shared" si="24"/>
        <v>569.23947</v>
      </c>
      <c r="K185" s="32">
        <f t="shared" si="24"/>
        <v>569.23947</v>
      </c>
      <c r="L185" s="32">
        <f t="shared" si="24"/>
        <v>432.73947</v>
      </c>
      <c r="M185" s="32">
        <f>C185+F185</f>
        <v>993.65947</v>
      </c>
    </row>
    <row r="186" spans="1:13" ht="29.25" customHeight="1" hidden="1">
      <c r="A186" s="4" t="s">
        <v>251</v>
      </c>
      <c r="B186" s="10" t="s">
        <v>337</v>
      </c>
      <c r="C186" s="32"/>
      <c r="D186" s="32"/>
      <c r="E186" s="32"/>
      <c r="F186" s="32">
        <f t="shared" si="18"/>
        <v>0</v>
      </c>
      <c r="G186" s="94"/>
      <c r="H186" s="32"/>
      <c r="I186" s="32"/>
      <c r="J186" s="32"/>
      <c r="K186" s="32"/>
      <c r="L186" s="32"/>
      <c r="M186" s="32">
        <f t="shared" si="22"/>
        <v>0</v>
      </c>
    </row>
    <row r="187" spans="1:13" ht="36.75" customHeight="1" hidden="1">
      <c r="A187" s="4" t="s">
        <v>251</v>
      </c>
      <c r="B187" s="5" t="s">
        <v>336</v>
      </c>
      <c r="C187" s="32"/>
      <c r="D187" s="32"/>
      <c r="E187" s="32"/>
      <c r="F187" s="32">
        <f t="shared" si="18"/>
        <v>0</v>
      </c>
      <c r="G187" s="94"/>
      <c r="H187" s="32"/>
      <c r="I187" s="32"/>
      <c r="J187" s="32"/>
      <c r="K187" s="32"/>
      <c r="L187" s="32"/>
      <c r="M187" s="32">
        <f t="shared" si="22"/>
        <v>0</v>
      </c>
    </row>
    <row r="188" spans="1:13" ht="171" customHeight="1" hidden="1">
      <c r="A188" s="4" t="s">
        <v>251</v>
      </c>
      <c r="B188" s="10" t="s">
        <v>310</v>
      </c>
      <c r="C188" s="32"/>
      <c r="D188" s="32"/>
      <c r="E188" s="32"/>
      <c r="F188" s="32">
        <f t="shared" si="18"/>
        <v>0</v>
      </c>
      <c r="G188" s="94"/>
      <c r="H188" s="32"/>
      <c r="I188" s="32"/>
      <c r="J188" s="32"/>
      <c r="K188" s="32"/>
      <c r="L188" s="32"/>
      <c r="M188" s="32">
        <f t="shared" si="22"/>
        <v>0</v>
      </c>
    </row>
    <row r="189" spans="1:13" ht="116.25" customHeight="1" hidden="1">
      <c r="A189" s="4" t="s">
        <v>251</v>
      </c>
      <c r="B189" s="10" t="s">
        <v>124</v>
      </c>
      <c r="C189" s="32"/>
      <c r="D189" s="32"/>
      <c r="E189" s="32"/>
      <c r="F189" s="32">
        <f t="shared" si="18"/>
        <v>0</v>
      </c>
      <c r="G189" s="94"/>
      <c r="H189" s="32"/>
      <c r="I189" s="32"/>
      <c r="J189" s="32"/>
      <c r="K189" s="32"/>
      <c r="L189" s="32"/>
      <c r="M189" s="32">
        <f t="shared" si="22"/>
        <v>0</v>
      </c>
    </row>
    <row r="190" spans="1:13" ht="96.75" customHeight="1" hidden="1">
      <c r="A190" s="4" t="s">
        <v>251</v>
      </c>
      <c r="B190" s="10" t="s">
        <v>253</v>
      </c>
      <c r="C190" s="32"/>
      <c r="D190" s="32"/>
      <c r="E190" s="32"/>
      <c r="F190" s="32">
        <f t="shared" si="18"/>
        <v>0</v>
      </c>
      <c r="G190" s="94"/>
      <c r="H190" s="32"/>
      <c r="I190" s="32"/>
      <c r="J190" s="32"/>
      <c r="K190" s="32"/>
      <c r="L190" s="32"/>
      <c r="M190" s="32">
        <f t="shared" si="22"/>
        <v>0</v>
      </c>
    </row>
    <row r="191" spans="1:13" ht="96.75" customHeight="1" hidden="1">
      <c r="A191" s="4" t="s">
        <v>251</v>
      </c>
      <c r="B191" s="10" t="s">
        <v>125</v>
      </c>
      <c r="C191" s="32"/>
      <c r="D191" s="32"/>
      <c r="E191" s="32"/>
      <c r="F191" s="32">
        <f t="shared" si="18"/>
        <v>0</v>
      </c>
      <c r="G191" s="94"/>
      <c r="H191" s="32"/>
      <c r="I191" s="32"/>
      <c r="J191" s="32"/>
      <c r="K191" s="32"/>
      <c r="L191" s="32"/>
      <c r="M191" s="32">
        <f t="shared" si="22"/>
        <v>0</v>
      </c>
    </row>
    <row r="192" spans="1:13" ht="111" customHeight="1" hidden="1">
      <c r="A192" s="4" t="s">
        <v>251</v>
      </c>
      <c r="B192" s="10" t="s">
        <v>127</v>
      </c>
      <c r="C192" s="32"/>
      <c r="D192" s="32"/>
      <c r="E192" s="32"/>
      <c r="F192" s="32">
        <f t="shared" si="18"/>
        <v>0</v>
      </c>
      <c r="G192" s="94"/>
      <c r="H192" s="32"/>
      <c r="I192" s="32"/>
      <c r="J192" s="32"/>
      <c r="K192" s="32"/>
      <c r="L192" s="32"/>
      <c r="M192" s="32">
        <f t="shared" si="22"/>
        <v>0</v>
      </c>
    </row>
    <row r="193" spans="1:13" ht="165" customHeight="1" hidden="1">
      <c r="A193" s="4" t="s">
        <v>251</v>
      </c>
      <c r="B193" s="10" t="s">
        <v>309</v>
      </c>
      <c r="C193" s="32"/>
      <c r="D193" s="32"/>
      <c r="E193" s="32"/>
      <c r="F193" s="32">
        <f t="shared" si="18"/>
        <v>0</v>
      </c>
      <c r="G193" s="94"/>
      <c r="H193" s="32"/>
      <c r="I193" s="32"/>
      <c r="J193" s="32"/>
      <c r="K193" s="32"/>
      <c r="L193" s="32"/>
      <c r="M193" s="32">
        <f t="shared" si="22"/>
        <v>0</v>
      </c>
    </row>
    <row r="194" spans="1:13" s="72" customFormat="1" ht="150.75" customHeight="1" hidden="1">
      <c r="A194" s="4" t="s">
        <v>251</v>
      </c>
      <c r="B194" s="10" t="s">
        <v>308</v>
      </c>
      <c r="C194" s="32"/>
      <c r="D194" s="32"/>
      <c r="E194" s="32"/>
      <c r="F194" s="70">
        <f t="shared" si="18"/>
        <v>0</v>
      </c>
      <c r="G194" s="32"/>
      <c r="H194" s="32"/>
      <c r="I194" s="32"/>
      <c r="J194" s="32"/>
      <c r="K194" s="32"/>
      <c r="L194" s="32"/>
      <c r="M194" s="71">
        <f t="shared" si="22"/>
        <v>0</v>
      </c>
    </row>
    <row r="195" spans="1:13" ht="84" customHeight="1">
      <c r="A195" s="4" t="s">
        <v>251</v>
      </c>
      <c r="B195" s="10" t="s">
        <v>32</v>
      </c>
      <c r="C195" s="32">
        <f>150+88+50+118-0.38</f>
        <v>405.62</v>
      </c>
      <c r="D195" s="32"/>
      <c r="E195" s="32"/>
      <c r="F195" s="32">
        <f t="shared" si="18"/>
        <v>199.07</v>
      </c>
      <c r="G195" s="44"/>
      <c r="H195" s="32"/>
      <c r="I195" s="32"/>
      <c r="J195" s="32">
        <f>118+129.47-58+44-30-4.4</f>
        <v>199.07</v>
      </c>
      <c r="K195" s="32">
        <f>118+129.47-58+44-30-4.4</f>
        <v>199.07</v>
      </c>
      <c r="L195" s="32">
        <f>118+129.47-58-30-4.4</f>
        <v>155.07</v>
      </c>
      <c r="M195" s="32">
        <f t="shared" si="22"/>
        <v>604.69</v>
      </c>
    </row>
    <row r="196" spans="1:13" ht="88.5" customHeight="1">
      <c r="A196" s="4" t="s">
        <v>251</v>
      </c>
      <c r="B196" s="10" t="s">
        <v>40</v>
      </c>
      <c r="C196" s="32"/>
      <c r="D196" s="32"/>
      <c r="E196" s="32"/>
      <c r="F196" s="32">
        <f t="shared" si="18"/>
        <v>370.16947</v>
      </c>
      <c r="G196" s="32"/>
      <c r="H196" s="32"/>
      <c r="I196" s="32"/>
      <c r="J196" s="32">
        <f>277.66947+43+88-88+53-3.5</f>
        <v>370.16947</v>
      </c>
      <c r="K196" s="32">
        <f>277.66947+43+88-88+53-3.5</f>
        <v>370.16947</v>
      </c>
      <c r="L196" s="32">
        <f>277.66947+88-88</f>
        <v>277.66947</v>
      </c>
      <c r="M196" s="32">
        <f t="shared" si="22"/>
        <v>370.16947</v>
      </c>
    </row>
    <row r="197" spans="1:13" ht="118.5" customHeight="1">
      <c r="A197" s="4" t="s">
        <v>251</v>
      </c>
      <c r="B197" s="10" t="s">
        <v>359</v>
      </c>
      <c r="C197" s="32">
        <f>20-1-0.2</f>
        <v>18.8</v>
      </c>
      <c r="D197" s="32"/>
      <c r="E197" s="32"/>
      <c r="F197" s="32">
        <f>G197+J197</f>
        <v>0</v>
      </c>
      <c r="G197" s="32"/>
      <c r="H197" s="32"/>
      <c r="I197" s="32"/>
      <c r="J197" s="32"/>
      <c r="K197" s="32"/>
      <c r="L197" s="32"/>
      <c r="M197" s="32">
        <f>C197+F197</f>
        <v>18.8</v>
      </c>
    </row>
    <row r="198" spans="1:13" ht="28.5" customHeight="1">
      <c r="A198" s="4" t="s">
        <v>5</v>
      </c>
      <c r="B198" s="10" t="s">
        <v>258</v>
      </c>
      <c r="C198" s="32">
        <f>SUM(C199)</f>
        <v>0</v>
      </c>
      <c r="D198" s="32">
        <f aca="true" t="shared" si="25" ref="D198:L198">SUM(D199)</f>
        <v>0</v>
      </c>
      <c r="E198" s="32">
        <f t="shared" si="25"/>
        <v>0</v>
      </c>
      <c r="F198" s="32">
        <f t="shared" si="18"/>
        <v>0</v>
      </c>
      <c r="G198" s="32">
        <f t="shared" si="25"/>
        <v>0</v>
      </c>
      <c r="H198" s="32">
        <f t="shared" si="25"/>
        <v>0</v>
      </c>
      <c r="I198" s="32">
        <f t="shared" si="25"/>
        <v>0</v>
      </c>
      <c r="J198" s="32">
        <f t="shared" si="25"/>
        <v>0</v>
      </c>
      <c r="K198" s="32">
        <f t="shared" si="25"/>
        <v>0</v>
      </c>
      <c r="L198" s="32">
        <f t="shared" si="25"/>
        <v>0</v>
      </c>
      <c r="M198" s="32">
        <f t="shared" si="22"/>
        <v>0</v>
      </c>
    </row>
    <row r="199" spans="1:13" ht="99" customHeight="1">
      <c r="A199" s="4" t="s">
        <v>261</v>
      </c>
      <c r="B199" s="21" t="s">
        <v>97</v>
      </c>
      <c r="C199" s="32"/>
      <c r="D199" s="32"/>
      <c r="E199" s="32"/>
      <c r="F199" s="32">
        <f t="shared" si="18"/>
        <v>0</v>
      </c>
      <c r="G199" s="94"/>
      <c r="H199" s="32"/>
      <c r="I199" s="32"/>
      <c r="J199" s="32"/>
      <c r="K199" s="32"/>
      <c r="L199" s="32"/>
      <c r="M199" s="32">
        <f t="shared" si="22"/>
        <v>0</v>
      </c>
    </row>
    <row r="200" spans="1:13" ht="33.75" customHeight="1">
      <c r="A200" s="4" t="s">
        <v>123</v>
      </c>
      <c r="B200" s="8" t="s">
        <v>171</v>
      </c>
      <c r="C200" s="32">
        <f>SUM(C201:C201)</f>
        <v>0</v>
      </c>
      <c r="D200" s="32">
        <f>SUM(D201:D201)</f>
        <v>0</v>
      </c>
      <c r="E200" s="32">
        <f>SUM(E201:E201)</f>
        <v>0</v>
      </c>
      <c r="F200" s="32">
        <f>G200+J200</f>
        <v>385.03887999999995</v>
      </c>
      <c r="G200" s="32">
        <f aca="true" t="shared" si="26" ref="G200:L200">SUM(G201:G202)</f>
        <v>145.03187</v>
      </c>
      <c r="H200" s="32">
        <f t="shared" si="26"/>
        <v>0</v>
      </c>
      <c r="I200" s="32">
        <f t="shared" si="26"/>
        <v>0</v>
      </c>
      <c r="J200" s="32">
        <f t="shared" si="26"/>
        <v>240.00700999999998</v>
      </c>
      <c r="K200" s="32">
        <f t="shared" si="26"/>
        <v>0</v>
      </c>
      <c r="L200" s="32">
        <f t="shared" si="26"/>
        <v>0</v>
      </c>
      <c r="M200" s="32">
        <f t="shared" si="22"/>
        <v>385.03887999999995</v>
      </c>
    </row>
    <row r="201" spans="1:13" ht="75.75" customHeight="1">
      <c r="A201" s="4" t="s">
        <v>265</v>
      </c>
      <c r="B201" s="8" t="s">
        <v>252</v>
      </c>
      <c r="C201" s="32"/>
      <c r="D201" s="32"/>
      <c r="E201" s="32"/>
      <c r="F201" s="32">
        <f t="shared" si="18"/>
        <v>254.98187000000001</v>
      </c>
      <c r="G201" s="32">
        <f>171.6+20.03187-46.6</f>
        <v>145.03187</v>
      </c>
      <c r="H201" s="32"/>
      <c r="I201" s="32"/>
      <c r="J201" s="32">
        <f>28.4+46.6+34.95</f>
        <v>109.95</v>
      </c>
      <c r="K201" s="32"/>
      <c r="L201" s="32"/>
      <c r="M201" s="32">
        <f t="shared" si="22"/>
        <v>254.98187000000001</v>
      </c>
    </row>
    <row r="202" spans="1:13" ht="104.25" customHeight="1">
      <c r="A202" s="4" t="s">
        <v>12</v>
      </c>
      <c r="B202" s="8" t="s">
        <v>41</v>
      </c>
      <c r="C202" s="32"/>
      <c r="D202" s="32"/>
      <c r="E202" s="32"/>
      <c r="F202" s="32">
        <f t="shared" si="18"/>
        <v>130.05701</v>
      </c>
      <c r="G202" s="32"/>
      <c r="H202" s="32"/>
      <c r="I202" s="32"/>
      <c r="J202" s="32">
        <v>130.05701</v>
      </c>
      <c r="K202" s="32"/>
      <c r="L202" s="32"/>
      <c r="M202" s="32">
        <f t="shared" si="22"/>
        <v>130.05701</v>
      </c>
    </row>
    <row r="203" spans="1:14" ht="48.75" customHeight="1">
      <c r="A203" s="34" t="s">
        <v>141</v>
      </c>
      <c r="B203" s="37" t="s">
        <v>107</v>
      </c>
      <c r="C203" s="40">
        <f>SUM(C204:C209)</f>
        <v>43475.798</v>
      </c>
      <c r="D203" s="40">
        <f>SUM(D204:D209)</f>
        <v>702.8430000000001</v>
      </c>
      <c r="E203" s="40">
        <f>SUM(E204:E209)</f>
        <v>29.4</v>
      </c>
      <c r="F203" s="40">
        <f>SUM(F204:F209)</f>
        <v>7562.934</v>
      </c>
      <c r="G203" s="40">
        <f aca="true" t="shared" si="27" ref="G203:L203">SUM(G204:G209)</f>
        <v>7521</v>
      </c>
      <c r="H203" s="40">
        <f t="shared" si="27"/>
        <v>0</v>
      </c>
      <c r="I203" s="40">
        <f t="shared" si="27"/>
        <v>0</v>
      </c>
      <c r="J203" s="40">
        <f t="shared" si="27"/>
        <v>41.934</v>
      </c>
      <c r="K203" s="40">
        <f t="shared" si="27"/>
        <v>41.934</v>
      </c>
      <c r="L203" s="40">
        <f t="shared" si="27"/>
        <v>0</v>
      </c>
      <c r="M203" s="40">
        <f>C203+F203</f>
        <v>51038.732</v>
      </c>
      <c r="N203" s="55" t="e">
        <f>M203-#REF!</f>
        <v>#REF!</v>
      </c>
    </row>
    <row r="204" spans="1:13" ht="44.25" customHeight="1">
      <c r="A204" s="4" t="s">
        <v>205</v>
      </c>
      <c r="B204" s="8" t="s">
        <v>188</v>
      </c>
      <c r="C204" s="42">
        <f>1133.4+8.998+30.5-10.5</f>
        <v>1162.3980000000001</v>
      </c>
      <c r="D204" s="42">
        <f>689.725+13.118</f>
        <v>702.8430000000001</v>
      </c>
      <c r="E204" s="42">
        <v>29.4</v>
      </c>
      <c r="F204" s="70">
        <f>G204+J204</f>
        <v>41.934</v>
      </c>
      <c r="G204" s="42"/>
      <c r="H204" s="42"/>
      <c r="I204" s="42"/>
      <c r="J204" s="42">
        <f>13+18.434+10.5</f>
        <v>41.934</v>
      </c>
      <c r="K204" s="42">
        <f>13+18.434+10.5</f>
        <v>41.934</v>
      </c>
      <c r="L204" s="42"/>
      <c r="M204" s="71">
        <f>C204+F204</f>
        <v>1204.332</v>
      </c>
    </row>
    <row r="205" spans="1:13" ht="174.75" customHeight="1">
      <c r="A205" s="4" t="s">
        <v>300</v>
      </c>
      <c r="B205" s="8" t="s">
        <v>307</v>
      </c>
      <c r="C205" s="42"/>
      <c r="D205" s="42"/>
      <c r="E205" s="42"/>
      <c r="F205" s="70">
        <f>G205+J205</f>
        <v>7521</v>
      </c>
      <c r="G205" s="42">
        <f>8500-979</f>
        <v>7521</v>
      </c>
      <c r="H205" s="42"/>
      <c r="I205" s="42"/>
      <c r="J205" s="42"/>
      <c r="K205" s="42"/>
      <c r="L205" s="42"/>
      <c r="M205" s="71">
        <f>C205+F205</f>
        <v>7521</v>
      </c>
    </row>
    <row r="206" spans="1:13" ht="141.75" customHeight="1">
      <c r="A206" s="4" t="s">
        <v>225</v>
      </c>
      <c r="B206" s="8" t="s">
        <v>340</v>
      </c>
      <c r="C206" s="32">
        <v>42313.4</v>
      </c>
      <c r="D206" s="32"/>
      <c r="E206" s="32"/>
      <c r="F206" s="32">
        <f>G206+J206</f>
        <v>0</v>
      </c>
      <c r="G206" s="94"/>
      <c r="H206" s="32"/>
      <c r="I206" s="32"/>
      <c r="J206" s="32"/>
      <c r="K206" s="32"/>
      <c r="L206" s="32"/>
      <c r="M206" s="32">
        <f>C206+F206</f>
        <v>42313.4</v>
      </c>
    </row>
    <row r="207" spans="1:13" s="72" customFormat="1" ht="39" customHeight="1">
      <c r="A207" s="4" t="s">
        <v>44</v>
      </c>
      <c r="B207" s="8" t="s">
        <v>45</v>
      </c>
      <c r="C207" s="32">
        <v>0</v>
      </c>
      <c r="D207" s="32"/>
      <c r="E207" s="32"/>
      <c r="F207" s="70">
        <f t="shared" si="18"/>
        <v>0</v>
      </c>
      <c r="G207" s="32"/>
      <c r="H207" s="32"/>
      <c r="I207" s="32"/>
      <c r="J207" s="32"/>
      <c r="K207" s="32"/>
      <c r="L207" s="32"/>
      <c r="M207" s="71">
        <f t="shared" si="22"/>
        <v>0</v>
      </c>
    </row>
    <row r="208" spans="1:13" ht="68.25" customHeight="1">
      <c r="A208" s="4" t="s">
        <v>269</v>
      </c>
      <c r="B208" s="5" t="s">
        <v>270</v>
      </c>
      <c r="C208" s="32">
        <f>317.1-317.1</f>
        <v>0</v>
      </c>
      <c r="D208" s="32"/>
      <c r="E208" s="32"/>
      <c r="F208" s="32">
        <f t="shared" si="18"/>
        <v>0</v>
      </c>
      <c r="G208" s="94"/>
      <c r="H208" s="32"/>
      <c r="I208" s="32"/>
      <c r="J208" s="32"/>
      <c r="K208" s="32"/>
      <c r="L208" s="32"/>
      <c r="M208" s="32">
        <f t="shared" si="22"/>
        <v>0</v>
      </c>
    </row>
    <row r="209" spans="1:13" ht="81" customHeight="1" hidden="1">
      <c r="A209" s="4" t="s">
        <v>29</v>
      </c>
      <c r="B209" s="10" t="s">
        <v>30</v>
      </c>
      <c r="C209" s="32"/>
      <c r="D209" s="32"/>
      <c r="E209" s="32"/>
      <c r="F209" s="32">
        <f t="shared" si="18"/>
        <v>0</v>
      </c>
      <c r="G209" s="94"/>
      <c r="H209" s="32"/>
      <c r="I209" s="32"/>
      <c r="J209" s="32"/>
      <c r="K209" s="32"/>
      <c r="L209" s="32"/>
      <c r="M209" s="32">
        <f t="shared" si="22"/>
        <v>0</v>
      </c>
    </row>
    <row r="210" spans="1:14" ht="44.25" customHeight="1">
      <c r="A210" s="34" t="s">
        <v>142</v>
      </c>
      <c r="B210" s="38" t="s">
        <v>108</v>
      </c>
      <c r="C210" s="40">
        <f>C212+C213+C220+C229+C230+C240</f>
        <v>5463.768410000001</v>
      </c>
      <c r="D210" s="40">
        <f>D212+D213+D220+D229+D230+D240</f>
        <v>3227.2440000000006</v>
      </c>
      <c r="E210" s="40">
        <f>E212+E213+E220+E229+E230+E240</f>
        <v>110.56500000000001</v>
      </c>
      <c r="F210" s="40">
        <f>G210+J210</f>
        <v>622.558</v>
      </c>
      <c r="G210" s="40">
        <f>G212+G213+G220+G229+G230+G240+G238+G239+G236+G237</f>
        <v>292.22299999999996</v>
      </c>
      <c r="H210" s="40">
        <f>H212+H213+H220+H229+H230+H240+H238</f>
        <v>98</v>
      </c>
      <c r="I210" s="40">
        <f>I212+I213+I220+I229+I230+I240+I238</f>
        <v>0</v>
      </c>
      <c r="J210" s="40">
        <f>J212+J213+J220+J229+J230+J240+J238</f>
        <v>330.33500000000004</v>
      </c>
      <c r="K210" s="40">
        <f>K212+K213+K220+K229+K230+K240+K238</f>
        <v>330.33500000000004</v>
      </c>
      <c r="L210" s="40">
        <f>L212+L213+L220+L229+L230+L240+L238</f>
        <v>90.015</v>
      </c>
      <c r="M210" s="40">
        <f t="shared" si="22"/>
        <v>6086.326410000001</v>
      </c>
      <c r="N210" s="55" t="e">
        <f>M210-#REF!</f>
        <v>#REF!</v>
      </c>
    </row>
    <row r="211" spans="1:13" s="104" customFormat="1" ht="47.25" customHeight="1">
      <c r="A211" s="102"/>
      <c r="B211" s="53" t="s">
        <v>102</v>
      </c>
      <c r="C211" s="103"/>
      <c r="D211" s="103"/>
      <c r="E211" s="103"/>
      <c r="F211" s="103">
        <f aca="true" t="shared" si="28" ref="F211:F219">G211+J211</f>
        <v>93.123</v>
      </c>
      <c r="G211" s="103">
        <f>G235+G236</f>
        <v>93.123</v>
      </c>
      <c r="H211" s="103">
        <f>H235</f>
        <v>0</v>
      </c>
      <c r="I211" s="103">
        <f>I235</f>
        <v>0</v>
      </c>
      <c r="J211" s="103">
        <f>J235</f>
        <v>0</v>
      </c>
      <c r="K211" s="103">
        <f>K235</f>
        <v>0</v>
      </c>
      <c r="L211" s="103">
        <f>L235</f>
        <v>0</v>
      </c>
      <c r="M211" s="103">
        <f t="shared" si="22"/>
        <v>93.123</v>
      </c>
    </row>
    <row r="212" spans="1:13" ht="66" customHeight="1">
      <c r="A212" s="4" t="s">
        <v>205</v>
      </c>
      <c r="B212" s="8" t="s">
        <v>136</v>
      </c>
      <c r="C212" s="42">
        <f>434.8+6.7034+1.2+6.836</f>
        <v>449.5394</v>
      </c>
      <c r="D212" s="42">
        <f>262.961+3.136</f>
        <v>266.09700000000004</v>
      </c>
      <c r="E212" s="42">
        <f>8.265+0.9</f>
        <v>9.165000000000001</v>
      </c>
      <c r="F212" s="78">
        <f t="shared" si="28"/>
        <v>2.3</v>
      </c>
      <c r="G212" s="101"/>
      <c r="H212" s="101"/>
      <c r="I212" s="101"/>
      <c r="J212" s="101">
        <v>2.3</v>
      </c>
      <c r="K212" s="101">
        <v>2.3</v>
      </c>
      <c r="L212" s="101">
        <v>2.3</v>
      </c>
      <c r="M212" s="79">
        <f>C212+F212</f>
        <v>451.8394</v>
      </c>
    </row>
    <row r="213" spans="1:13" ht="22.5" customHeight="1">
      <c r="A213" s="4" t="s">
        <v>266</v>
      </c>
      <c r="B213" s="5" t="s">
        <v>267</v>
      </c>
      <c r="C213" s="32">
        <f>SUM(C215:C219)</f>
        <v>3513.2916400000004</v>
      </c>
      <c r="D213" s="32">
        <f aca="true" t="shared" si="29" ref="D213:L213">SUM(D215:D219)</f>
        <v>2151.2850000000003</v>
      </c>
      <c r="E213" s="32">
        <f>E214+E215+E216+E217</f>
        <v>77.60000000000001</v>
      </c>
      <c r="F213" s="32">
        <f t="shared" si="28"/>
        <v>457.91499999999996</v>
      </c>
      <c r="G213" s="32">
        <f t="shared" si="29"/>
        <v>135.1</v>
      </c>
      <c r="H213" s="32">
        <f t="shared" si="29"/>
        <v>98</v>
      </c>
      <c r="I213" s="32">
        <f t="shared" si="29"/>
        <v>0</v>
      </c>
      <c r="J213" s="32">
        <f t="shared" si="29"/>
        <v>322.815</v>
      </c>
      <c r="K213" s="32">
        <f t="shared" si="29"/>
        <v>322.815</v>
      </c>
      <c r="L213" s="32">
        <f t="shared" si="29"/>
        <v>87.715</v>
      </c>
      <c r="M213" s="32">
        <f aca="true" t="shared" si="30" ref="M213:M219">C213+F213</f>
        <v>3971.2066400000003</v>
      </c>
    </row>
    <row r="214" spans="1:13" ht="28.5" customHeight="1">
      <c r="A214" s="4" t="s">
        <v>266</v>
      </c>
      <c r="B214" s="8" t="s">
        <v>168</v>
      </c>
      <c r="C214" s="32">
        <f>SUM(C215:C218)</f>
        <v>3217.0616400000004</v>
      </c>
      <c r="D214" s="32">
        <f>SUM(D215:D218)</f>
        <v>2151.2850000000003</v>
      </c>
      <c r="E214" s="32">
        <f>11.52</f>
        <v>11.52</v>
      </c>
      <c r="F214" s="32">
        <f t="shared" si="28"/>
        <v>411.269</v>
      </c>
      <c r="G214" s="32">
        <f aca="true" t="shared" si="31" ref="G214:L214">SUM(G215:G218)</f>
        <v>135.1</v>
      </c>
      <c r="H214" s="32">
        <f t="shared" si="31"/>
        <v>98</v>
      </c>
      <c r="I214" s="32">
        <f t="shared" si="31"/>
        <v>0</v>
      </c>
      <c r="J214" s="32">
        <f t="shared" si="31"/>
        <v>276.169</v>
      </c>
      <c r="K214" s="32">
        <f t="shared" si="31"/>
        <v>276.169</v>
      </c>
      <c r="L214" s="32">
        <f t="shared" si="31"/>
        <v>41.069</v>
      </c>
      <c r="M214" s="32">
        <f t="shared" si="30"/>
        <v>3628.33064</v>
      </c>
    </row>
    <row r="215" spans="1:13" ht="24" customHeight="1">
      <c r="A215" s="4" t="s">
        <v>245</v>
      </c>
      <c r="B215" s="5" t="s">
        <v>268</v>
      </c>
      <c r="C215" s="32">
        <f>427.992+4.14714+3.5-2.5</f>
        <v>433.13914</v>
      </c>
      <c r="D215" s="32">
        <f>277.387-1</f>
        <v>276.387</v>
      </c>
      <c r="E215" s="32">
        <f>41.14-6.4</f>
        <v>34.74</v>
      </c>
      <c r="F215" s="70">
        <f t="shared" si="28"/>
        <v>44.7</v>
      </c>
      <c r="G215" s="32"/>
      <c r="H215" s="32"/>
      <c r="I215" s="32"/>
      <c r="J215" s="32">
        <f>20+4.7+10+10</f>
        <v>44.7</v>
      </c>
      <c r="K215" s="32">
        <f>20+4.7+10+10</f>
        <v>44.7</v>
      </c>
      <c r="L215" s="32">
        <f>20+4.7+10-10</f>
        <v>24.700000000000003</v>
      </c>
      <c r="M215" s="71">
        <f t="shared" si="30"/>
        <v>477.83914</v>
      </c>
    </row>
    <row r="216" spans="1:13" ht="29.25" customHeight="1">
      <c r="A216" s="4" t="s">
        <v>249</v>
      </c>
      <c r="B216" s="8" t="s">
        <v>278</v>
      </c>
      <c r="C216" s="32">
        <f>257.952+2.01724+20-3.9</f>
        <v>276.06924000000004</v>
      </c>
      <c r="D216" s="32">
        <f>148.097+1</f>
        <v>149.097</v>
      </c>
      <c r="E216" s="32">
        <f>26.28+1.2</f>
        <v>27.48</v>
      </c>
      <c r="F216" s="70">
        <f t="shared" si="28"/>
        <v>11.369</v>
      </c>
      <c r="G216" s="32"/>
      <c r="H216" s="32"/>
      <c r="I216" s="32"/>
      <c r="J216" s="32">
        <f>5+6.369</f>
        <v>11.369</v>
      </c>
      <c r="K216" s="32">
        <f>5+6.369</f>
        <v>11.369</v>
      </c>
      <c r="L216" s="32">
        <f>5+6.369</f>
        <v>11.369</v>
      </c>
      <c r="M216" s="71">
        <f t="shared" si="30"/>
        <v>287.43824000000006</v>
      </c>
    </row>
    <row r="217" spans="1:13" ht="33.75" customHeight="1">
      <c r="A217" s="4" t="s">
        <v>246</v>
      </c>
      <c r="B217" s="5" t="s">
        <v>277</v>
      </c>
      <c r="C217" s="32">
        <f>2234.743+5.31068+33.8-34.1</f>
        <v>2239.7536800000003</v>
      </c>
      <c r="D217" s="32">
        <f>1582.941-25</f>
        <v>1557.941</v>
      </c>
      <c r="E217" s="32">
        <f>4.36-0.5</f>
        <v>3.8600000000000003</v>
      </c>
      <c r="F217" s="70">
        <f t="shared" si="28"/>
        <v>350.2</v>
      </c>
      <c r="G217" s="32">
        <v>135.1</v>
      </c>
      <c r="H217" s="32">
        <v>98</v>
      </c>
      <c r="I217" s="32">
        <v>0</v>
      </c>
      <c r="J217" s="32">
        <f>253.2-14-24.1</f>
        <v>215.1</v>
      </c>
      <c r="K217" s="32">
        <f>253.2-14-24.1</f>
        <v>215.1</v>
      </c>
      <c r="L217" s="32">
        <f>253.2-14-186-24.1-29.1</f>
        <v>0</v>
      </c>
      <c r="M217" s="71">
        <f t="shared" si="30"/>
        <v>2589.95368</v>
      </c>
    </row>
    <row r="218" spans="1:13" ht="45.75" customHeight="1">
      <c r="A218" s="4" t="s">
        <v>247</v>
      </c>
      <c r="B218" s="5" t="s">
        <v>14</v>
      </c>
      <c r="C218" s="32">
        <f>226.613+7.88658+33.6</f>
        <v>268.09958</v>
      </c>
      <c r="D218" s="32">
        <f>142.86+25</f>
        <v>167.86</v>
      </c>
      <c r="E218" s="111"/>
      <c r="F218" s="70">
        <f t="shared" si="28"/>
        <v>5</v>
      </c>
      <c r="G218" s="32"/>
      <c r="H218" s="32"/>
      <c r="I218" s="32"/>
      <c r="J218" s="32">
        <v>5</v>
      </c>
      <c r="K218" s="32">
        <v>5</v>
      </c>
      <c r="L218" s="32">
        <v>5</v>
      </c>
      <c r="M218" s="71">
        <f t="shared" si="30"/>
        <v>273.09958</v>
      </c>
    </row>
    <row r="219" spans="1:13" ht="58.5" customHeight="1">
      <c r="A219" s="4" t="s">
        <v>247</v>
      </c>
      <c r="B219" s="8" t="s">
        <v>89</v>
      </c>
      <c r="C219" s="32">
        <f>300+4.876-10+38-36.646</f>
        <v>296.22999999999996</v>
      </c>
      <c r="D219" s="32"/>
      <c r="E219" s="32"/>
      <c r="F219" s="70">
        <f t="shared" si="28"/>
        <v>46.646</v>
      </c>
      <c r="G219" s="48"/>
      <c r="H219" s="48"/>
      <c r="I219" s="48"/>
      <c r="J219" s="48">
        <f>10+36.646</f>
        <v>46.646</v>
      </c>
      <c r="K219" s="48">
        <f>10+36.646</f>
        <v>46.646</v>
      </c>
      <c r="L219" s="48">
        <f>10+36.646</f>
        <v>46.646</v>
      </c>
      <c r="M219" s="71">
        <f t="shared" si="30"/>
        <v>342.876</v>
      </c>
    </row>
    <row r="220" spans="1:13" ht="45" customHeight="1" hidden="1">
      <c r="A220" s="4" t="s">
        <v>216</v>
      </c>
      <c r="B220" s="8" t="s">
        <v>88</v>
      </c>
      <c r="C220" s="32">
        <f>SUM(C221:C228)</f>
        <v>0</v>
      </c>
      <c r="D220" s="32"/>
      <c r="E220" s="32"/>
      <c r="F220" s="32">
        <f t="shared" si="18"/>
        <v>0</v>
      </c>
      <c r="G220" s="94"/>
      <c r="H220" s="32"/>
      <c r="I220" s="32"/>
      <c r="J220" s="32"/>
      <c r="K220" s="32"/>
      <c r="L220" s="32"/>
      <c r="M220" s="32">
        <f t="shared" si="22"/>
        <v>0</v>
      </c>
    </row>
    <row r="221" spans="1:13" ht="79.5" customHeight="1" hidden="1">
      <c r="A221" s="4" t="s">
        <v>216</v>
      </c>
      <c r="B221" s="8" t="s">
        <v>84</v>
      </c>
      <c r="C221" s="32">
        <f>15-15</f>
        <v>0</v>
      </c>
      <c r="D221" s="32"/>
      <c r="E221" s="32"/>
      <c r="F221" s="32">
        <f t="shared" si="18"/>
        <v>0</v>
      </c>
      <c r="G221" s="94"/>
      <c r="H221" s="32"/>
      <c r="I221" s="32"/>
      <c r="J221" s="32"/>
      <c r="K221" s="32"/>
      <c r="L221" s="32"/>
      <c r="M221" s="32">
        <f t="shared" si="22"/>
        <v>0</v>
      </c>
    </row>
    <row r="222" spans="1:13" ht="53.25" customHeight="1" hidden="1">
      <c r="A222" s="4" t="s">
        <v>216</v>
      </c>
      <c r="B222" s="8" t="s">
        <v>85</v>
      </c>
      <c r="C222" s="32"/>
      <c r="D222" s="32"/>
      <c r="E222" s="32"/>
      <c r="F222" s="32">
        <f t="shared" si="18"/>
        <v>0</v>
      </c>
      <c r="G222" s="94"/>
      <c r="H222" s="32"/>
      <c r="I222" s="32"/>
      <c r="J222" s="32"/>
      <c r="K222" s="32"/>
      <c r="L222" s="32"/>
      <c r="M222" s="32">
        <f t="shared" si="22"/>
        <v>0</v>
      </c>
    </row>
    <row r="223" spans="1:13" ht="63" customHeight="1" hidden="1">
      <c r="A223" s="4" t="s">
        <v>216</v>
      </c>
      <c r="B223" s="8" t="s">
        <v>86</v>
      </c>
      <c r="C223" s="32"/>
      <c r="D223" s="32"/>
      <c r="E223" s="32"/>
      <c r="F223" s="32">
        <f aca="true" t="shared" si="32" ref="F223:F255">G223+J223</f>
        <v>0</v>
      </c>
      <c r="G223" s="94"/>
      <c r="H223" s="32"/>
      <c r="I223" s="32"/>
      <c r="J223" s="32"/>
      <c r="K223" s="32"/>
      <c r="L223" s="32"/>
      <c r="M223" s="32">
        <f t="shared" si="22"/>
        <v>0</v>
      </c>
    </row>
    <row r="224" spans="1:13" ht="63" customHeight="1" hidden="1">
      <c r="A224" s="4" t="s">
        <v>216</v>
      </c>
      <c r="B224" s="29" t="s">
        <v>327</v>
      </c>
      <c r="C224" s="32"/>
      <c r="D224" s="32"/>
      <c r="E224" s="32"/>
      <c r="F224" s="32">
        <f t="shared" si="32"/>
        <v>0</v>
      </c>
      <c r="G224" s="94"/>
      <c r="H224" s="32"/>
      <c r="I224" s="32"/>
      <c r="J224" s="32"/>
      <c r="K224" s="32"/>
      <c r="L224" s="32"/>
      <c r="M224" s="32">
        <f t="shared" si="22"/>
        <v>0</v>
      </c>
    </row>
    <row r="225" spans="1:13" ht="68.25" customHeight="1" hidden="1">
      <c r="A225" s="4" t="s">
        <v>216</v>
      </c>
      <c r="B225" s="74" t="s">
        <v>328</v>
      </c>
      <c r="C225" s="32"/>
      <c r="D225" s="32"/>
      <c r="E225" s="32"/>
      <c r="F225" s="32">
        <f t="shared" si="32"/>
        <v>0</v>
      </c>
      <c r="G225" s="94"/>
      <c r="H225" s="32"/>
      <c r="I225" s="32"/>
      <c r="J225" s="32"/>
      <c r="K225" s="32"/>
      <c r="L225" s="32"/>
      <c r="M225" s="32">
        <f t="shared" si="22"/>
        <v>0</v>
      </c>
    </row>
    <row r="226" spans="1:13" ht="87.75" customHeight="1" hidden="1">
      <c r="A226" s="4" t="s">
        <v>216</v>
      </c>
      <c r="B226" s="74" t="s">
        <v>330</v>
      </c>
      <c r="C226" s="32"/>
      <c r="D226" s="32"/>
      <c r="E226" s="32"/>
      <c r="F226" s="32">
        <f t="shared" si="32"/>
        <v>0</v>
      </c>
      <c r="G226" s="94"/>
      <c r="H226" s="32"/>
      <c r="I226" s="32"/>
      <c r="J226" s="32"/>
      <c r="K226" s="32"/>
      <c r="L226" s="32"/>
      <c r="M226" s="32">
        <f t="shared" si="22"/>
        <v>0</v>
      </c>
    </row>
    <row r="227" spans="1:13" ht="63" customHeight="1" hidden="1">
      <c r="A227" s="4" t="s">
        <v>216</v>
      </c>
      <c r="B227" s="8" t="s">
        <v>87</v>
      </c>
      <c r="C227" s="32"/>
      <c r="D227" s="32"/>
      <c r="E227" s="32"/>
      <c r="F227" s="32">
        <f t="shared" si="32"/>
        <v>0</v>
      </c>
      <c r="G227" s="94"/>
      <c r="H227" s="32"/>
      <c r="I227" s="32"/>
      <c r="J227" s="32"/>
      <c r="K227" s="32"/>
      <c r="L227" s="32"/>
      <c r="M227" s="32">
        <f t="shared" si="22"/>
        <v>0</v>
      </c>
    </row>
    <row r="228" spans="1:13" ht="86.25" customHeight="1" hidden="1">
      <c r="A228" s="4" t="s">
        <v>216</v>
      </c>
      <c r="B228" s="8" t="s">
        <v>23</v>
      </c>
      <c r="C228" s="32"/>
      <c r="D228" s="32"/>
      <c r="E228" s="32"/>
      <c r="F228" s="32">
        <f t="shared" si="32"/>
        <v>0</v>
      </c>
      <c r="G228" s="94"/>
      <c r="H228" s="32"/>
      <c r="I228" s="32"/>
      <c r="J228" s="32"/>
      <c r="K228" s="32"/>
      <c r="L228" s="32"/>
      <c r="M228" s="32">
        <f t="shared" si="22"/>
        <v>0</v>
      </c>
    </row>
    <row r="229" spans="1:13" ht="72" customHeight="1">
      <c r="A229" s="4" t="s">
        <v>291</v>
      </c>
      <c r="B229" s="8" t="s">
        <v>82</v>
      </c>
      <c r="C229" s="32">
        <f>35+17.6</f>
        <v>52.6</v>
      </c>
      <c r="D229" s="32"/>
      <c r="E229" s="32"/>
      <c r="F229" s="32">
        <f t="shared" si="32"/>
        <v>0</v>
      </c>
      <c r="G229" s="94"/>
      <c r="H229" s="32"/>
      <c r="I229" s="32"/>
      <c r="J229" s="32"/>
      <c r="K229" s="32"/>
      <c r="L229" s="32"/>
      <c r="M229" s="32">
        <f t="shared" si="22"/>
        <v>52.6</v>
      </c>
    </row>
    <row r="230" spans="1:13" ht="48" customHeight="1">
      <c r="A230" s="4" t="s">
        <v>191</v>
      </c>
      <c r="B230" s="8" t="s">
        <v>190</v>
      </c>
      <c r="C230" s="32">
        <f>SUM(C231:C234)</f>
        <v>1448.33737</v>
      </c>
      <c r="D230" s="32">
        <f>SUM(D231:D234)</f>
        <v>809.862</v>
      </c>
      <c r="E230" s="32">
        <f>SUM(E231:E234)</f>
        <v>23.8</v>
      </c>
      <c r="F230" s="32">
        <f>G230+J230</f>
        <v>97.938</v>
      </c>
      <c r="G230" s="32">
        <f aca="true" t="shared" si="33" ref="G230:L230">SUM(G231:G235)</f>
        <v>92.718</v>
      </c>
      <c r="H230" s="32">
        <f t="shared" si="33"/>
        <v>0</v>
      </c>
      <c r="I230" s="32">
        <f t="shared" si="33"/>
        <v>0</v>
      </c>
      <c r="J230" s="32">
        <f t="shared" si="33"/>
        <v>5.22</v>
      </c>
      <c r="K230" s="32">
        <f t="shared" si="33"/>
        <v>5.22</v>
      </c>
      <c r="L230" s="32">
        <f t="shared" si="33"/>
        <v>0</v>
      </c>
      <c r="M230" s="32">
        <f>C230+F230</f>
        <v>1546.27537</v>
      </c>
    </row>
    <row r="231" spans="1:13" ht="83.25" customHeight="1">
      <c r="A231" s="4" t="s">
        <v>333</v>
      </c>
      <c r="B231" s="8" t="s">
        <v>90</v>
      </c>
      <c r="C231" s="32">
        <f>45-1.244-9</f>
        <v>34.756</v>
      </c>
      <c r="D231" s="32"/>
      <c r="E231" s="32"/>
      <c r="F231" s="32">
        <f t="shared" si="32"/>
        <v>0</v>
      </c>
      <c r="G231" s="94"/>
      <c r="H231" s="32"/>
      <c r="I231" s="32"/>
      <c r="J231" s="32"/>
      <c r="K231" s="32"/>
      <c r="L231" s="32"/>
      <c r="M231" s="32">
        <f t="shared" si="22"/>
        <v>34.756</v>
      </c>
    </row>
    <row r="232" spans="1:13" ht="87" customHeight="1">
      <c r="A232" s="4" t="s">
        <v>184</v>
      </c>
      <c r="B232" s="8" t="s">
        <v>91</v>
      </c>
      <c r="C232" s="32">
        <f>70-2.56</f>
        <v>67.44</v>
      </c>
      <c r="D232" s="32"/>
      <c r="E232" s="32"/>
      <c r="F232" s="32">
        <f t="shared" si="32"/>
        <v>0</v>
      </c>
      <c r="G232" s="94"/>
      <c r="H232" s="32"/>
      <c r="I232" s="32"/>
      <c r="J232" s="32"/>
      <c r="K232" s="32"/>
      <c r="L232" s="32"/>
      <c r="M232" s="32">
        <f t="shared" si="22"/>
        <v>67.44</v>
      </c>
    </row>
    <row r="233" spans="1:13" ht="81" customHeight="1">
      <c r="A233" s="4" t="s">
        <v>298</v>
      </c>
      <c r="B233" s="8" t="s">
        <v>92</v>
      </c>
      <c r="C233" s="50">
        <f>35+25.86+3.804-8.6</f>
        <v>56.064</v>
      </c>
      <c r="D233" s="32"/>
      <c r="E233" s="32"/>
      <c r="F233" s="32">
        <f t="shared" si="32"/>
        <v>0</v>
      </c>
      <c r="G233" s="94"/>
      <c r="H233" s="32"/>
      <c r="I233" s="32"/>
      <c r="J233" s="32"/>
      <c r="K233" s="32"/>
      <c r="L233" s="32"/>
      <c r="M233" s="32">
        <f t="shared" si="22"/>
        <v>56.064</v>
      </c>
    </row>
    <row r="234" spans="1:13" ht="43.5" customHeight="1">
      <c r="A234" s="4" t="s">
        <v>208</v>
      </c>
      <c r="B234" s="5" t="s">
        <v>334</v>
      </c>
      <c r="C234" s="32">
        <f>1196.6+8.79737+70+9.68+5</f>
        <v>1290.07737</v>
      </c>
      <c r="D234" s="32">
        <v>809.862</v>
      </c>
      <c r="E234" s="32">
        <f>17.1+1.2+5.5</f>
        <v>23.8</v>
      </c>
      <c r="F234" s="70">
        <f t="shared" si="32"/>
        <v>5.22</v>
      </c>
      <c r="G234" s="32"/>
      <c r="H234" s="32"/>
      <c r="I234" s="32"/>
      <c r="J234" s="32">
        <v>5.22</v>
      </c>
      <c r="K234" s="32">
        <v>5.22</v>
      </c>
      <c r="L234" s="32"/>
      <c r="M234" s="71">
        <f t="shared" si="22"/>
        <v>1295.29737</v>
      </c>
    </row>
    <row r="235" spans="1:13" ht="63.75" customHeight="1">
      <c r="A235" s="4" t="s">
        <v>208</v>
      </c>
      <c r="B235" s="5" t="s">
        <v>18</v>
      </c>
      <c r="C235" s="32"/>
      <c r="D235" s="32"/>
      <c r="E235" s="32"/>
      <c r="F235" s="70">
        <f>G235+J235</f>
        <v>92.718</v>
      </c>
      <c r="G235" s="32">
        <v>92.718</v>
      </c>
      <c r="H235" s="32"/>
      <c r="I235" s="32"/>
      <c r="J235" s="32"/>
      <c r="K235" s="32"/>
      <c r="L235" s="32"/>
      <c r="M235" s="71">
        <f>C235+F235</f>
        <v>92.718</v>
      </c>
    </row>
    <row r="236" spans="1:13" ht="102.75" customHeight="1">
      <c r="A236" s="4" t="s">
        <v>208</v>
      </c>
      <c r="B236" s="5" t="s">
        <v>347</v>
      </c>
      <c r="C236" s="32"/>
      <c r="D236" s="32"/>
      <c r="E236" s="32"/>
      <c r="F236" s="70">
        <f>G236+J236</f>
        <v>0.405</v>
      </c>
      <c r="G236" s="32">
        <v>0.405</v>
      </c>
      <c r="H236" s="32"/>
      <c r="I236" s="32"/>
      <c r="J236" s="32"/>
      <c r="K236" s="32"/>
      <c r="L236" s="32"/>
      <c r="M236" s="71">
        <f>C236+F236</f>
        <v>0.405</v>
      </c>
    </row>
    <row r="237" spans="1:13" ht="71.25" customHeight="1">
      <c r="A237" s="4" t="s">
        <v>12</v>
      </c>
      <c r="B237" s="5" t="s">
        <v>112</v>
      </c>
      <c r="C237" s="32"/>
      <c r="D237" s="32"/>
      <c r="E237" s="32"/>
      <c r="F237" s="70">
        <f>G237+J237</f>
        <v>13</v>
      </c>
      <c r="G237" s="32">
        <v>13</v>
      </c>
      <c r="H237" s="32"/>
      <c r="I237" s="32"/>
      <c r="J237" s="32"/>
      <c r="K237" s="32"/>
      <c r="L237" s="32"/>
      <c r="M237" s="71">
        <f>C237+F237</f>
        <v>13</v>
      </c>
    </row>
    <row r="238" spans="1:13" ht="150.75" customHeight="1">
      <c r="A238" s="4" t="s">
        <v>12</v>
      </c>
      <c r="B238" s="10" t="s">
        <v>305</v>
      </c>
      <c r="C238" s="32"/>
      <c r="D238" s="32"/>
      <c r="E238" s="32"/>
      <c r="F238" s="32">
        <f t="shared" si="32"/>
        <v>21.2</v>
      </c>
      <c r="G238" s="32">
        <v>21.2</v>
      </c>
      <c r="H238" s="32"/>
      <c r="I238" s="32"/>
      <c r="J238" s="32"/>
      <c r="K238" s="32"/>
      <c r="L238" s="32"/>
      <c r="M238" s="32">
        <f t="shared" si="22"/>
        <v>21.2</v>
      </c>
    </row>
    <row r="239" spans="1:13" ht="99.75" customHeight="1">
      <c r="A239" s="4" t="s">
        <v>12</v>
      </c>
      <c r="B239" s="10" t="s">
        <v>304</v>
      </c>
      <c r="C239" s="32"/>
      <c r="D239" s="32"/>
      <c r="E239" s="32"/>
      <c r="F239" s="32">
        <f>G239+J239</f>
        <v>22</v>
      </c>
      <c r="G239" s="32">
        <v>22</v>
      </c>
      <c r="H239" s="32"/>
      <c r="I239" s="32"/>
      <c r="J239" s="32"/>
      <c r="K239" s="32"/>
      <c r="L239" s="32"/>
      <c r="M239" s="32">
        <f>C239+F239</f>
        <v>22</v>
      </c>
    </row>
    <row r="240" spans="1:13" ht="84.75" customHeight="1">
      <c r="A240" s="4" t="s">
        <v>12</v>
      </c>
      <c r="B240" s="10" t="s">
        <v>306</v>
      </c>
      <c r="C240" s="32"/>
      <c r="D240" s="32"/>
      <c r="E240" s="32"/>
      <c r="F240" s="32">
        <f t="shared" si="32"/>
        <v>7.8</v>
      </c>
      <c r="G240" s="94">
        <v>7.8</v>
      </c>
      <c r="H240" s="32"/>
      <c r="I240" s="32"/>
      <c r="J240" s="32"/>
      <c r="K240" s="32"/>
      <c r="L240" s="32"/>
      <c r="M240" s="32">
        <f t="shared" si="22"/>
        <v>7.8</v>
      </c>
    </row>
    <row r="241" spans="1:14" s="33" customFormat="1" ht="56.25">
      <c r="A241" s="34" t="s">
        <v>143</v>
      </c>
      <c r="B241" s="37" t="s">
        <v>185</v>
      </c>
      <c r="C241" s="40">
        <f>SUM(C242:C248)</f>
        <v>1140.4</v>
      </c>
      <c r="D241" s="40">
        <f>SUM(D242:D248)</f>
        <v>721.7800000000001</v>
      </c>
      <c r="E241" s="40">
        <f>SUM(E242:E248)</f>
        <v>20.5</v>
      </c>
      <c r="F241" s="40">
        <f t="shared" si="32"/>
        <v>76.69</v>
      </c>
      <c r="G241" s="40">
        <f aca="true" t="shared" si="34" ref="G241:L241">SUM(G242:G248)</f>
        <v>0</v>
      </c>
      <c r="H241" s="40">
        <f t="shared" si="34"/>
        <v>0</v>
      </c>
      <c r="I241" s="40">
        <f t="shared" si="34"/>
        <v>0</v>
      </c>
      <c r="J241" s="40">
        <f>SUM(J242:J248)</f>
        <v>76.69</v>
      </c>
      <c r="K241" s="40">
        <f t="shared" si="34"/>
        <v>76.69</v>
      </c>
      <c r="L241" s="40">
        <f t="shared" si="34"/>
        <v>62.69</v>
      </c>
      <c r="M241" s="40">
        <f t="shared" si="22"/>
        <v>1217.0900000000001</v>
      </c>
      <c r="N241" s="54" t="e">
        <f>M241-#REF!</f>
        <v>#REF!</v>
      </c>
    </row>
    <row r="242" spans="1:13" ht="75" customHeight="1">
      <c r="A242" s="4" t="s">
        <v>205</v>
      </c>
      <c r="B242" s="8" t="s">
        <v>145</v>
      </c>
      <c r="C242" s="42">
        <f>846.4-3.5-4.9+0.5-10.01-5.3</f>
        <v>823.19</v>
      </c>
      <c r="D242" s="42">
        <f>576.24-4.9-13.11-4.8</f>
        <v>553.4300000000001</v>
      </c>
      <c r="E242" s="42">
        <f>13.8+0.5</f>
        <v>14.3</v>
      </c>
      <c r="F242" s="70">
        <f t="shared" si="32"/>
        <v>12.5</v>
      </c>
      <c r="G242" s="42"/>
      <c r="H242" s="42"/>
      <c r="I242" s="42"/>
      <c r="J242" s="42">
        <f>12.5+1.2-1.2</f>
        <v>12.5</v>
      </c>
      <c r="K242" s="42">
        <f>12.5+1.2-1.2</f>
        <v>12.5</v>
      </c>
      <c r="L242" s="42">
        <f>12.5+1.2-1.2</f>
        <v>12.5</v>
      </c>
      <c r="M242" s="71">
        <f aca="true" t="shared" si="35" ref="M242:M260">C242+F242</f>
        <v>835.69</v>
      </c>
    </row>
    <row r="243" spans="1:14" ht="84.75" customHeight="1">
      <c r="A243" s="4" t="s">
        <v>133</v>
      </c>
      <c r="B243" s="7" t="s">
        <v>299</v>
      </c>
      <c r="C243" s="32">
        <f>40-3.69-28.5-7</f>
        <v>0.8100000000000023</v>
      </c>
      <c r="D243" s="32"/>
      <c r="E243" s="32"/>
      <c r="F243" s="70">
        <f t="shared" si="32"/>
        <v>0</v>
      </c>
      <c r="G243" s="42"/>
      <c r="H243" s="42"/>
      <c r="I243" s="42"/>
      <c r="J243" s="42"/>
      <c r="K243" s="42"/>
      <c r="L243" s="42"/>
      <c r="M243" s="71">
        <f t="shared" si="35"/>
        <v>0.8100000000000023</v>
      </c>
      <c r="N243" s="55">
        <f>M243+M247</f>
        <v>64.5</v>
      </c>
    </row>
    <row r="244" spans="1:13" ht="67.5" customHeight="1">
      <c r="A244" s="4" t="s">
        <v>291</v>
      </c>
      <c r="B244" s="7" t="s">
        <v>26</v>
      </c>
      <c r="C244" s="32">
        <f>26-1.3-4.7-1.7-11.6-3.5</f>
        <v>3.200000000000001</v>
      </c>
      <c r="D244" s="32"/>
      <c r="E244" s="32"/>
      <c r="F244" s="32">
        <f t="shared" si="32"/>
        <v>0</v>
      </c>
      <c r="G244" s="94"/>
      <c r="H244" s="32"/>
      <c r="I244" s="32"/>
      <c r="J244" s="32"/>
      <c r="K244" s="32"/>
      <c r="L244" s="32"/>
      <c r="M244" s="32">
        <f t="shared" si="35"/>
        <v>3.200000000000001</v>
      </c>
    </row>
    <row r="245" spans="1:13" ht="54" customHeight="1">
      <c r="A245" s="4" t="s">
        <v>222</v>
      </c>
      <c r="B245" s="8" t="s">
        <v>259</v>
      </c>
      <c r="C245" s="32">
        <f>247.7+1.3+4.9+1.5</f>
        <v>255.4</v>
      </c>
      <c r="D245" s="32">
        <f>164.85+3.5</f>
        <v>168.35</v>
      </c>
      <c r="E245" s="32">
        <v>6.2</v>
      </c>
      <c r="F245" s="70">
        <f t="shared" si="32"/>
        <v>3.5</v>
      </c>
      <c r="G245" s="32"/>
      <c r="H245" s="32"/>
      <c r="I245" s="32"/>
      <c r="J245" s="32">
        <v>3.5</v>
      </c>
      <c r="K245" s="32">
        <v>3.5</v>
      </c>
      <c r="L245" s="32">
        <v>3.5</v>
      </c>
      <c r="M245" s="71">
        <f t="shared" si="35"/>
        <v>258.9</v>
      </c>
    </row>
    <row r="246" spans="1:13" ht="90.75" customHeight="1">
      <c r="A246" s="4" t="s">
        <v>261</v>
      </c>
      <c r="B246" s="8" t="s">
        <v>93</v>
      </c>
      <c r="C246" s="32">
        <f>27.5+7-1.7</f>
        <v>32.8</v>
      </c>
      <c r="D246" s="32"/>
      <c r="E246" s="32"/>
      <c r="F246" s="70">
        <f t="shared" si="32"/>
        <v>8</v>
      </c>
      <c r="G246" s="32"/>
      <c r="H246" s="32"/>
      <c r="I246" s="32"/>
      <c r="J246" s="32">
        <f>35.5-14-13.5</f>
        <v>8</v>
      </c>
      <c r="K246" s="32">
        <f>35.5-14-13.5</f>
        <v>8</v>
      </c>
      <c r="L246" s="32">
        <f>35.5-14-13.5</f>
        <v>8</v>
      </c>
      <c r="M246" s="71">
        <f t="shared" si="35"/>
        <v>40.8</v>
      </c>
    </row>
    <row r="247" spans="1:13" s="72" customFormat="1" ht="114.75" customHeight="1">
      <c r="A247" s="4" t="s">
        <v>367</v>
      </c>
      <c r="B247" s="7" t="s">
        <v>80</v>
      </c>
      <c r="C247" s="32">
        <v>25</v>
      </c>
      <c r="D247" s="32"/>
      <c r="E247" s="32"/>
      <c r="F247" s="70">
        <f t="shared" si="32"/>
        <v>38.69</v>
      </c>
      <c r="G247" s="32"/>
      <c r="H247" s="32"/>
      <c r="I247" s="32"/>
      <c r="J247" s="32">
        <f>3.69+35</f>
        <v>38.69</v>
      </c>
      <c r="K247" s="32">
        <f>3.69+35</f>
        <v>38.69</v>
      </c>
      <c r="L247" s="32">
        <f>3.69+35</f>
        <v>38.69</v>
      </c>
      <c r="M247" s="71">
        <f t="shared" si="35"/>
        <v>63.69</v>
      </c>
    </row>
    <row r="248" spans="1:13" s="72" customFormat="1" ht="157.5" customHeight="1">
      <c r="A248" s="4" t="s">
        <v>162</v>
      </c>
      <c r="B248" s="7" t="s">
        <v>99</v>
      </c>
      <c r="C248" s="32"/>
      <c r="D248" s="32"/>
      <c r="E248" s="32"/>
      <c r="F248" s="70">
        <f t="shared" si="32"/>
        <v>14</v>
      </c>
      <c r="G248" s="32"/>
      <c r="H248" s="32"/>
      <c r="I248" s="32"/>
      <c r="J248" s="32">
        <v>14</v>
      </c>
      <c r="K248" s="32">
        <v>14</v>
      </c>
      <c r="L248" s="32"/>
      <c r="M248" s="71">
        <f t="shared" si="35"/>
        <v>14</v>
      </c>
    </row>
    <row r="249" spans="1:14" ht="48.75" customHeight="1">
      <c r="A249" s="34" t="s">
        <v>144</v>
      </c>
      <c r="B249" s="37" t="s">
        <v>109</v>
      </c>
      <c r="C249" s="40">
        <f>SUM(C250:C255)</f>
        <v>521.40502</v>
      </c>
      <c r="D249" s="40">
        <f>SUM(D250:D255)</f>
        <v>260.19</v>
      </c>
      <c r="E249" s="40">
        <f>SUM(E250:E255)</f>
        <v>6.1</v>
      </c>
      <c r="F249" s="40">
        <f t="shared" si="32"/>
        <v>0</v>
      </c>
      <c r="G249" s="40">
        <f>G250</f>
        <v>0</v>
      </c>
      <c r="H249" s="40">
        <f>SUM(H250:H252)</f>
        <v>0</v>
      </c>
      <c r="I249" s="40">
        <f>SUM(I250:I252)</f>
        <v>0</v>
      </c>
      <c r="J249" s="40">
        <f>SUM(J250:J252)</f>
        <v>0</v>
      </c>
      <c r="K249" s="40">
        <f>SUM(K250:K252)</f>
        <v>0</v>
      </c>
      <c r="L249" s="40">
        <f>SUM(L250:L252)</f>
        <v>0</v>
      </c>
      <c r="M249" s="40">
        <f t="shared" si="35"/>
        <v>521.40502</v>
      </c>
      <c r="N249" s="55" t="e">
        <f>M249-#REF!</f>
        <v>#REF!</v>
      </c>
    </row>
    <row r="250" spans="1:13" ht="45.75" customHeight="1">
      <c r="A250" s="4" t="s">
        <v>205</v>
      </c>
      <c r="B250" s="8" t="s">
        <v>147</v>
      </c>
      <c r="C250" s="32">
        <f>388.6+1.25902-4.3</f>
        <v>385.55902000000003</v>
      </c>
      <c r="D250" s="32">
        <f>263.39-3.2</f>
        <v>260.19</v>
      </c>
      <c r="E250" s="32">
        <v>6.1</v>
      </c>
      <c r="F250" s="32">
        <f t="shared" si="32"/>
        <v>0</v>
      </c>
      <c r="G250" s="44"/>
      <c r="H250" s="32"/>
      <c r="I250" s="32"/>
      <c r="J250" s="32"/>
      <c r="K250" s="32"/>
      <c r="L250" s="32"/>
      <c r="M250" s="32">
        <f t="shared" si="35"/>
        <v>385.55902000000003</v>
      </c>
    </row>
    <row r="251" spans="1:13" ht="81.75" customHeight="1" hidden="1">
      <c r="A251" s="4" t="s">
        <v>322</v>
      </c>
      <c r="B251" s="8" t="s">
        <v>311</v>
      </c>
      <c r="C251" s="32">
        <v>0</v>
      </c>
      <c r="D251" s="32"/>
      <c r="E251" s="32"/>
      <c r="F251" s="32">
        <f t="shared" si="32"/>
        <v>0</v>
      </c>
      <c r="G251" s="44"/>
      <c r="H251" s="32"/>
      <c r="I251" s="32"/>
      <c r="J251" s="32"/>
      <c r="K251" s="32"/>
      <c r="L251" s="32"/>
      <c r="M251" s="32">
        <f t="shared" si="35"/>
        <v>0</v>
      </c>
    </row>
    <row r="252" spans="1:13" ht="104.25" customHeight="1" hidden="1">
      <c r="A252" s="4" t="s">
        <v>322</v>
      </c>
      <c r="B252" s="8" t="s">
        <v>323</v>
      </c>
      <c r="C252" s="32"/>
      <c r="D252" s="32"/>
      <c r="E252" s="32"/>
      <c r="F252" s="32">
        <f t="shared" si="32"/>
        <v>0</v>
      </c>
      <c r="G252" s="94"/>
      <c r="H252" s="32"/>
      <c r="I252" s="32"/>
      <c r="J252" s="32"/>
      <c r="K252" s="32"/>
      <c r="L252" s="32"/>
      <c r="M252" s="32">
        <f t="shared" si="35"/>
        <v>0</v>
      </c>
    </row>
    <row r="253" spans="1:13" ht="64.5" customHeight="1">
      <c r="A253" s="4" t="s">
        <v>291</v>
      </c>
      <c r="B253" s="8" t="s">
        <v>360</v>
      </c>
      <c r="C253" s="49">
        <f>4-3.6</f>
        <v>0.3999999999999999</v>
      </c>
      <c r="D253" s="32"/>
      <c r="E253" s="32"/>
      <c r="F253" s="32">
        <f t="shared" si="32"/>
        <v>0</v>
      </c>
      <c r="G253" s="94"/>
      <c r="H253" s="32"/>
      <c r="I253" s="32"/>
      <c r="J253" s="32"/>
      <c r="K253" s="32"/>
      <c r="L253" s="32"/>
      <c r="M253" s="32">
        <f t="shared" si="35"/>
        <v>0.3999999999999999</v>
      </c>
    </row>
    <row r="254" spans="1:13" ht="105.75" customHeight="1">
      <c r="A254" s="4" t="s">
        <v>291</v>
      </c>
      <c r="B254" s="7" t="s">
        <v>25</v>
      </c>
      <c r="C254" s="32">
        <v>0.434</v>
      </c>
      <c r="D254" s="32"/>
      <c r="E254" s="32"/>
      <c r="F254" s="32">
        <f t="shared" si="32"/>
        <v>0</v>
      </c>
      <c r="G254" s="44"/>
      <c r="H254" s="32"/>
      <c r="I254" s="32"/>
      <c r="J254" s="32"/>
      <c r="K254" s="32"/>
      <c r="L254" s="32"/>
      <c r="M254" s="32">
        <f t="shared" si="35"/>
        <v>0.434</v>
      </c>
    </row>
    <row r="255" spans="1:13" ht="105.75" customHeight="1">
      <c r="A255" s="4" t="s">
        <v>48</v>
      </c>
      <c r="B255" s="5" t="s">
        <v>312</v>
      </c>
      <c r="C255" s="32">
        <v>135.012</v>
      </c>
      <c r="D255" s="32"/>
      <c r="E255" s="32"/>
      <c r="F255" s="32">
        <f t="shared" si="32"/>
        <v>0</v>
      </c>
      <c r="G255" s="44"/>
      <c r="H255" s="32"/>
      <c r="I255" s="32"/>
      <c r="J255" s="32"/>
      <c r="K255" s="32"/>
      <c r="L255" s="32"/>
      <c r="M255" s="32">
        <f t="shared" si="35"/>
        <v>135.012</v>
      </c>
    </row>
    <row r="256" spans="1:14" ht="35.25" customHeight="1">
      <c r="A256" s="34" t="s">
        <v>154</v>
      </c>
      <c r="B256" s="37" t="s">
        <v>155</v>
      </c>
      <c r="C256" s="40">
        <f>SUM(C257:C260)</f>
        <v>643.5710000000001</v>
      </c>
      <c r="D256" s="40">
        <f>SUM(D257:D260)</f>
        <v>405.44072</v>
      </c>
      <c r="E256" s="40">
        <f>SUM(E257:E260)</f>
        <v>8.9</v>
      </c>
      <c r="F256" s="40">
        <f>G256+J256</f>
        <v>286.82149</v>
      </c>
      <c r="G256" s="40">
        <f aca="true" t="shared" si="36" ref="G256:L256">SUM(G257:G260)</f>
        <v>0</v>
      </c>
      <c r="H256" s="40">
        <f t="shared" si="36"/>
        <v>0</v>
      </c>
      <c r="I256" s="40">
        <f t="shared" si="36"/>
        <v>0</v>
      </c>
      <c r="J256" s="40">
        <f t="shared" si="36"/>
        <v>286.82149</v>
      </c>
      <c r="K256" s="40">
        <f t="shared" si="36"/>
        <v>286.82149</v>
      </c>
      <c r="L256" s="40">
        <f t="shared" si="36"/>
        <v>63.32149</v>
      </c>
      <c r="M256" s="40">
        <f t="shared" si="35"/>
        <v>930.3924900000002</v>
      </c>
      <c r="N256" s="55" t="e">
        <f>M256-#REF!</f>
        <v>#REF!</v>
      </c>
    </row>
    <row r="257" spans="1:14" ht="51" customHeight="1">
      <c r="A257" s="4" t="s">
        <v>156</v>
      </c>
      <c r="B257" s="29" t="s">
        <v>19</v>
      </c>
      <c r="C257" s="32">
        <f>287.3</f>
        <v>287.3</v>
      </c>
      <c r="D257" s="32">
        <f>184.731-0.74031</f>
        <v>183.99069</v>
      </c>
      <c r="E257" s="32">
        <v>8.9</v>
      </c>
      <c r="F257" s="70">
        <f>G257+J257</f>
        <v>63.32149</v>
      </c>
      <c r="G257" s="48"/>
      <c r="H257" s="48"/>
      <c r="I257" s="48"/>
      <c r="J257" s="32">
        <f>63.32149</f>
        <v>63.32149</v>
      </c>
      <c r="K257" s="32">
        <f>63.32149</f>
        <v>63.32149</v>
      </c>
      <c r="L257" s="32">
        <v>63.32149</v>
      </c>
      <c r="M257" s="32">
        <f t="shared" si="35"/>
        <v>350.62149</v>
      </c>
      <c r="N257" s="55"/>
    </row>
    <row r="258" spans="1:14" ht="51" customHeight="1">
      <c r="A258" s="4" t="s">
        <v>156</v>
      </c>
      <c r="B258" s="29" t="s">
        <v>21</v>
      </c>
      <c r="C258" s="32">
        <f>331.091</f>
        <v>331.091</v>
      </c>
      <c r="D258" s="32">
        <f>224.969-3.51897</f>
        <v>221.45003</v>
      </c>
      <c r="E258" s="32"/>
      <c r="F258" s="70">
        <f>G258+J258</f>
        <v>223.5</v>
      </c>
      <c r="G258" s="48"/>
      <c r="H258" s="48"/>
      <c r="I258" s="48"/>
      <c r="J258" s="32">
        <f>70+153.5</f>
        <v>223.5</v>
      </c>
      <c r="K258" s="32">
        <f>70+153.5</f>
        <v>223.5</v>
      </c>
      <c r="L258" s="32"/>
      <c r="M258" s="32">
        <f>C258+F258</f>
        <v>554.591</v>
      </c>
      <c r="N258" s="55"/>
    </row>
    <row r="259" spans="1:14" ht="78" customHeight="1">
      <c r="A259" s="4" t="s">
        <v>367</v>
      </c>
      <c r="B259" s="29" t="s">
        <v>3</v>
      </c>
      <c r="C259" s="32">
        <f>15+4-4+4.7</f>
        <v>19.7</v>
      </c>
      <c r="D259" s="32"/>
      <c r="E259" s="32"/>
      <c r="F259" s="70">
        <f>G259+J259</f>
        <v>0</v>
      </c>
      <c r="G259" s="32"/>
      <c r="H259" s="32"/>
      <c r="I259" s="32"/>
      <c r="J259" s="32"/>
      <c r="K259" s="32"/>
      <c r="L259" s="32"/>
      <c r="M259" s="71">
        <f t="shared" si="35"/>
        <v>19.7</v>
      </c>
      <c r="N259" s="55"/>
    </row>
    <row r="260" spans="1:13" ht="72" customHeight="1">
      <c r="A260" s="4" t="s">
        <v>291</v>
      </c>
      <c r="B260" s="8" t="s">
        <v>82</v>
      </c>
      <c r="C260" s="50">
        <f>5+0.48</f>
        <v>5.48</v>
      </c>
      <c r="D260" s="32"/>
      <c r="E260" s="32"/>
      <c r="F260" s="32">
        <f>G260+J260</f>
        <v>0</v>
      </c>
      <c r="G260" s="94"/>
      <c r="H260" s="32"/>
      <c r="I260" s="32"/>
      <c r="J260" s="32"/>
      <c r="K260" s="32"/>
      <c r="L260" s="32"/>
      <c r="M260" s="32">
        <f t="shared" si="35"/>
        <v>5.48</v>
      </c>
    </row>
    <row r="261" spans="1:14" ht="33" customHeight="1">
      <c r="A261" s="34"/>
      <c r="B261" s="35" t="s">
        <v>224</v>
      </c>
      <c r="C261" s="40">
        <f aca="true" t="shared" si="37" ref="C261:M261">C12+C31+C54+C156+C203+C210+C241+C249+C256</f>
        <v>166510.10333</v>
      </c>
      <c r="D261" s="40">
        <f t="shared" si="37"/>
        <v>46722.89835999999</v>
      </c>
      <c r="E261" s="40">
        <f t="shared" si="37"/>
        <v>5759.023139999999</v>
      </c>
      <c r="F261" s="40">
        <f t="shared" si="37"/>
        <v>30407.66998</v>
      </c>
      <c r="G261" s="40">
        <f t="shared" si="37"/>
        <v>12937.99366</v>
      </c>
      <c r="H261" s="40">
        <f t="shared" si="37"/>
        <v>502.042</v>
      </c>
      <c r="I261" s="40">
        <f t="shared" si="37"/>
        <v>46.656</v>
      </c>
      <c r="J261" s="40">
        <f t="shared" si="37"/>
        <v>17469.676319999995</v>
      </c>
      <c r="K261" s="40">
        <f t="shared" si="37"/>
        <v>10215.25851</v>
      </c>
      <c r="L261" s="40">
        <f t="shared" si="37"/>
        <v>3687.29122</v>
      </c>
      <c r="M261" s="40">
        <f t="shared" si="37"/>
        <v>196917.77331000002</v>
      </c>
      <c r="N261" s="55" t="e">
        <f>M261-#REF!</f>
        <v>#REF!</v>
      </c>
    </row>
    <row r="263" spans="1:15" ht="39" customHeight="1">
      <c r="A263" s="4"/>
      <c r="B263" s="8" t="s">
        <v>102</v>
      </c>
      <c r="C263" s="32">
        <f>C55</f>
        <v>33381.946</v>
      </c>
      <c r="D263" s="32">
        <f>D55</f>
        <v>0</v>
      </c>
      <c r="E263" s="32">
        <f>E55</f>
        <v>0</v>
      </c>
      <c r="F263" s="32">
        <f>G263+J263</f>
        <v>16179.62049</v>
      </c>
      <c r="G263" s="32">
        <f>G55+G32+G157+G209+G205+G211</f>
        <v>8760.381389999999</v>
      </c>
      <c r="H263" s="32">
        <f>H55+H32+H157</f>
        <v>0</v>
      </c>
      <c r="I263" s="32">
        <f>I55+I32+I157</f>
        <v>0</v>
      </c>
      <c r="J263" s="32">
        <f>J55+J32+J157+J209</f>
        <v>7419.239100000001</v>
      </c>
      <c r="K263" s="32">
        <f>K55+K32+K157+K209</f>
        <v>606.35</v>
      </c>
      <c r="L263" s="32">
        <f>L55+L32+L157+L209</f>
        <v>606.35</v>
      </c>
      <c r="M263" s="32">
        <f>C263+F263</f>
        <v>49561.566490000005</v>
      </c>
      <c r="N263" s="55" t="e">
        <f>M263-#REF!</f>
        <v>#REF!</v>
      </c>
      <c r="O263" s="55" t="e">
        <f>N263-340.5</f>
        <v>#REF!</v>
      </c>
    </row>
    <row r="264" spans="3:13" ht="18.75">
      <c r="C264" s="39"/>
      <c r="D264" s="39"/>
      <c r="E264" s="39"/>
      <c r="F264" s="39"/>
      <c r="G264" s="80"/>
      <c r="H264" s="39"/>
      <c r="I264" s="39"/>
      <c r="J264" s="39"/>
      <c r="K264" s="39"/>
      <c r="L264" s="39"/>
      <c r="M264" s="39"/>
    </row>
    <row r="265" spans="1:13" s="36" customFormat="1" ht="12.75" customHeight="1" hidden="1">
      <c r="A265" s="81"/>
      <c r="B265" s="81"/>
      <c r="C265" s="82"/>
      <c r="D265" s="83"/>
      <c r="E265" s="83"/>
      <c r="F265" s="83"/>
      <c r="G265" s="83"/>
      <c r="H265" s="83"/>
      <c r="I265" s="83"/>
      <c r="J265" s="83"/>
      <c r="K265" s="83"/>
      <c r="L265" s="83"/>
      <c r="M265" s="84"/>
    </row>
    <row r="266" spans="1:13" s="36" customFormat="1" ht="13.5" customHeight="1">
      <c r="A266" s="20"/>
      <c r="B266" s="20"/>
      <c r="C266" s="51"/>
      <c r="D266" s="51"/>
      <c r="E266" s="51"/>
      <c r="F266" s="51"/>
      <c r="G266" s="85"/>
      <c r="H266" s="51"/>
      <c r="I266" s="51"/>
      <c r="J266" s="51"/>
      <c r="K266" s="51"/>
      <c r="L266" s="51"/>
      <c r="M266" s="51"/>
    </row>
    <row r="267" spans="1:13" s="24" customFormat="1" ht="25.5" customHeight="1">
      <c r="A267" s="26" t="s">
        <v>335</v>
      </c>
      <c r="B267" s="27"/>
      <c r="C267" s="52"/>
      <c r="D267" s="52"/>
      <c r="E267" s="52"/>
      <c r="F267" s="52"/>
      <c r="G267" s="80"/>
      <c r="H267" s="52"/>
      <c r="I267" s="52"/>
      <c r="J267" s="52"/>
      <c r="K267" s="52"/>
      <c r="L267" s="124" t="s">
        <v>321</v>
      </c>
      <c r="M267" s="124"/>
    </row>
    <row r="268" spans="1:13" s="89" customFormat="1" ht="20.25">
      <c r="A268" s="86"/>
      <c r="B268" s="87"/>
      <c r="C268" s="47"/>
      <c r="D268" s="47"/>
      <c r="E268" s="57"/>
      <c r="F268" s="47"/>
      <c r="G268" s="50"/>
      <c r="H268" s="57"/>
      <c r="I268" s="57"/>
      <c r="J268" s="57"/>
      <c r="K268" s="47"/>
      <c r="L268" s="88"/>
      <c r="M268" s="50"/>
    </row>
    <row r="269" spans="3:13" ht="18.75">
      <c r="C269" s="39"/>
      <c r="D269" s="39"/>
      <c r="E269" s="39"/>
      <c r="F269" s="39"/>
      <c r="G269" s="39"/>
      <c r="H269" s="39"/>
      <c r="I269" s="39"/>
      <c r="J269" s="39"/>
      <c r="K269" s="39"/>
      <c r="L269" s="39"/>
      <c r="M269" s="39"/>
    </row>
    <row r="270" spans="1:13" s="19" customFormat="1" ht="18.75">
      <c r="A270" s="1"/>
      <c r="B270" s="2"/>
      <c r="C270" s="60">
        <v>166815.07966</v>
      </c>
      <c r="D270" s="61">
        <v>46735.278</v>
      </c>
      <c r="E270" s="61">
        <v>5759.478</v>
      </c>
      <c r="F270" s="61">
        <v>30475.96998</v>
      </c>
      <c r="G270" s="61">
        <v>12937.99366</v>
      </c>
      <c r="H270" s="62">
        <v>502.042</v>
      </c>
      <c r="I270" s="62">
        <v>46.656</v>
      </c>
      <c r="J270" s="61">
        <v>17537.97632</v>
      </c>
      <c r="K270" s="61">
        <v>10313.30851</v>
      </c>
      <c r="L270" s="61">
        <v>4471.40122</v>
      </c>
      <c r="M270" s="39">
        <v>197705.40764</v>
      </c>
    </row>
    <row r="271" spans="1:13" s="19" customFormat="1" ht="18.75">
      <c r="A271" s="16"/>
      <c r="B271" s="14"/>
      <c r="C271" s="39">
        <v>-304.97633</v>
      </c>
      <c r="D271" s="39">
        <v>-12.53564</v>
      </c>
      <c r="E271" s="39">
        <v>-0.45486</v>
      </c>
      <c r="F271" s="39">
        <v>-68.3</v>
      </c>
      <c r="G271" s="39">
        <f aca="true" t="shared" si="38" ref="G271:M271">G261-G270</f>
        <v>0</v>
      </c>
      <c r="H271" s="39">
        <f t="shared" si="38"/>
        <v>0</v>
      </c>
      <c r="I271" s="39">
        <f t="shared" si="38"/>
        <v>0</v>
      </c>
      <c r="J271" s="39">
        <f t="shared" si="38"/>
        <v>-68.30000000000655</v>
      </c>
      <c r="K271" s="39">
        <f t="shared" si="38"/>
        <v>-98.05000000000109</v>
      </c>
      <c r="L271" s="39">
        <f t="shared" si="38"/>
        <v>-784.1099999999997</v>
      </c>
      <c r="M271" s="39">
        <f t="shared" si="38"/>
        <v>-787.6343299999717</v>
      </c>
    </row>
    <row r="272" spans="1:13" s="19" customFormat="1" ht="18.75">
      <c r="A272" s="3"/>
      <c r="B272" s="2"/>
      <c r="C272" s="50">
        <f aca="true" t="shared" si="39" ref="C272:M272">C270+C271</f>
        <v>166510.10332999998</v>
      </c>
      <c r="D272" s="50">
        <f t="shared" si="39"/>
        <v>46722.74236</v>
      </c>
      <c r="E272" s="50">
        <f t="shared" si="39"/>
        <v>5759.02314</v>
      </c>
      <c r="F272" s="50">
        <f t="shared" si="39"/>
        <v>30407.669980000002</v>
      </c>
      <c r="G272" s="50">
        <f t="shared" si="39"/>
        <v>12937.99366</v>
      </c>
      <c r="H272" s="50">
        <f t="shared" si="39"/>
        <v>502.042</v>
      </c>
      <c r="I272" s="50">
        <f t="shared" si="39"/>
        <v>46.656</v>
      </c>
      <c r="J272" s="50">
        <f t="shared" si="39"/>
        <v>17469.676319999995</v>
      </c>
      <c r="K272" s="50">
        <f t="shared" si="39"/>
        <v>10215.25851</v>
      </c>
      <c r="L272" s="50">
        <f t="shared" si="39"/>
        <v>3687.29122</v>
      </c>
      <c r="M272" s="50">
        <f t="shared" si="39"/>
        <v>196917.77331000002</v>
      </c>
    </row>
    <row r="273" spans="1:12" ht="18.75">
      <c r="A273" s="3"/>
      <c r="B273" s="15"/>
      <c r="C273" s="17">
        <f>C261-C272</f>
        <v>0</v>
      </c>
      <c r="D273" s="18"/>
      <c r="E273" s="17"/>
      <c r="F273" s="17"/>
      <c r="G273" s="90"/>
      <c r="H273" s="17"/>
      <c r="I273" s="17"/>
      <c r="J273" s="17"/>
      <c r="K273" s="17"/>
      <c r="L273" s="17"/>
    </row>
    <row r="274" spans="1:12" ht="18.75">
      <c r="A274" s="3"/>
      <c r="B274" s="15"/>
      <c r="C274" s="17"/>
      <c r="D274" s="18"/>
      <c r="E274" s="17"/>
      <c r="F274" s="17"/>
      <c r="G274" s="90"/>
      <c r="H274" s="17"/>
      <c r="I274" s="17"/>
      <c r="J274" s="17"/>
      <c r="K274" s="17"/>
      <c r="L274" s="17"/>
    </row>
    <row r="275" spans="3:13" ht="18.75">
      <c r="C275" s="39">
        <f>C272-C261</f>
        <v>0</v>
      </c>
      <c r="D275" s="39">
        <f>D272-D261</f>
        <v>-0.1559999999954016</v>
      </c>
      <c r="E275" s="39">
        <f>E272-E261</f>
        <v>0</v>
      </c>
      <c r="F275" s="39">
        <f>F272-F261</f>
        <v>0</v>
      </c>
      <c r="G275" s="39">
        <f aca="true" t="shared" si="40" ref="G275:M275">G272-G261</f>
        <v>0</v>
      </c>
      <c r="H275" s="39">
        <f t="shared" si="40"/>
        <v>0</v>
      </c>
      <c r="I275" s="39">
        <f t="shared" si="40"/>
        <v>0</v>
      </c>
      <c r="J275" s="39">
        <f t="shared" si="40"/>
        <v>0</v>
      </c>
      <c r="K275" s="39">
        <f t="shared" si="40"/>
        <v>0</v>
      </c>
      <c r="L275" s="39">
        <f t="shared" si="40"/>
        <v>0</v>
      </c>
      <c r="M275" s="39">
        <f t="shared" si="40"/>
        <v>0</v>
      </c>
    </row>
    <row r="276" spans="3:12" ht="18.75">
      <c r="C276" s="17"/>
      <c r="D276" s="17"/>
      <c r="E276" s="17"/>
      <c r="F276" s="17"/>
      <c r="G276" s="92"/>
      <c r="H276" s="17"/>
      <c r="I276" s="17"/>
      <c r="J276" s="17"/>
      <c r="K276" s="17"/>
      <c r="L276" s="17"/>
    </row>
    <row r="278" spans="3:13" ht="18.75">
      <c r="C278" s="17">
        <v>33254.2</v>
      </c>
      <c r="D278" s="17"/>
      <c r="E278" s="17"/>
      <c r="F278" s="17">
        <v>16960.62049</v>
      </c>
      <c r="G278" s="93">
        <v>9739.38139</v>
      </c>
      <c r="H278" s="17"/>
      <c r="I278" s="17"/>
      <c r="J278" s="17">
        <v>7221.2391</v>
      </c>
      <c r="K278" s="17">
        <v>408.35</v>
      </c>
      <c r="L278" s="17">
        <v>408.35</v>
      </c>
      <c r="M278" s="91">
        <f>C278+F278</f>
        <v>50214.82049</v>
      </c>
    </row>
    <row r="279" spans="3:13" ht="18.75">
      <c r="C279" s="110">
        <f>C278-C263</f>
        <v>-127.74600000000646</v>
      </c>
      <c r="D279" s="110">
        <f aca="true" t="shared" si="41" ref="D279:M279">D278-D263</f>
        <v>0</v>
      </c>
      <c r="E279" s="110">
        <f t="shared" si="41"/>
        <v>0</v>
      </c>
      <c r="F279" s="110">
        <f t="shared" si="41"/>
        <v>781.0000000000018</v>
      </c>
      <c r="G279" s="110">
        <f t="shared" si="41"/>
        <v>979.0000000000018</v>
      </c>
      <c r="H279" s="110">
        <f t="shared" si="41"/>
        <v>0</v>
      </c>
      <c r="I279" s="110">
        <f t="shared" si="41"/>
        <v>0</v>
      </c>
      <c r="J279" s="110">
        <f t="shared" si="41"/>
        <v>-198.0000000000009</v>
      </c>
      <c r="K279" s="110">
        <f t="shared" si="41"/>
        <v>-198</v>
      </c>
      <c r="L279" s="110">
        <f t="shared" si="41"/>
        <v>-198</v>
      </c>
      <c r="M279" s="110">
        <f t="shared" si="41"/>
        <v>653.2539999999935</v>
      </c>
    </row>
    <row r="280" ht="18.75">
      <c r="C280" s="15"/>
    </row>
    <row r="281" ht="18.75">
      <c r="C281" s="15"/>
    </row>
  </sheetData>
  <sheetProtection/>
  <mergeCells count="33">
    <mergeCell ref="F62:F63"/>
    <mergeCell ref="G62:G63"/>
    <mergeCell ref="H62:H63"/>
    <mergeCell ref="A62:A63"/>
    <mergeCell ref="C62:C63"/>
    <mergeCell ref="D62:D63"/>
    <mergeCell ref="E62:E63"/>
    <mergeCell ref="K62:K63"/>
    <mergeCell ref="M62:M63"/>
    <mergeCell ref="L267:M267"/>
    <mergeCell ref="M7:M10"/>
    <mergeCell ref="K8:L8"/>
    <mergeCell ref="K9:K10"/>
    <mergeCell ref="C8:C10"/>
    <mergeCell ref="J62:J63"/>
    <mergeCell ref="D8:E8"/>
    <mergeCell ref="F8:F10"/>
    <mergeCell ref="G8:G10"/>
    <mergeCell ref="H8:I8"/>
    <mergeCell ref="J8:J10"/>
    <mergeCell ref="D9:D10"/>
    <mergeCell ref="I62:I63"/>
    <mergeCell ref="I9:I10"/>
    <mergeCell ref="E9:E10"/>
    <mergeCell ref="H9:H10"/>
    <mergeCell ref="J1:L1"/>
    <mergeCell ref="A4:M4"/>
    <mergeCell ref="A5:M5"/>
    <mergeCell ref="K6:M6"/>
    <mergeCell ref="C7:E7"/>
    <mergeCell ref="F7:L7"/>
    <mergeCell ref="A8:A10"/>
    <mergeCell ref="B8:B10"/>
  </mergeCells>
  <conditionalFormatting sqref="F243:M243 M245:M248 F245:F248 C212:M212 M259 G36:L39 F207 M207 F215:F219 F194 M194 M175 F179 M179 C242:M242 M215:M219 C204:M205 F165:F168 M121:M122 F160:F162 M160:M162 G158:M158 F143:F155 M85:M94 F38 G44:J47 K47 G43:L43 M38 K44:L46 C33:M33 F14:F30 F121:F122 C158:E158 G41:I42 M143:M155 M18 F170:F175 M165:M173 F234:F237 M234:M237 C13:M13 F257:F259 F49:M49">
    <cfRule type="cellIs" priority="3" dxfId="0" operator="equal" stopIfTrue="1">
      <formula>0</formula>
    </cfRule>
  </conditionalFormatting>
  <printOptions/>
  <pageMargins left="0.31496062992125984" right="0.3937007874015748" top="0.984251968503937" bottom="0.5511811023622047" header="0.5118110236220472" footer="0.5118110236220472"/>
  <pageSetup blackAndWhite="1" fitToHeight="19" horizontalDpi="600" verticalDpi="600" orientation="landscape" paperSize="9" scale="49" r:id="rId1"/>
  <rowBreaks count="4" manualBreakCount="4">
    <brk id="19" max="12" man="1"/>
    <brk id="139" max="12" man="1"/>
    <brk id="247" max="12" man="1"/>
    <brk id="2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2013-11-29T06:57:19Z</cp:lastPrinted>
  <dcterms:created xsi:type="dcterms:W3CDTF">2002-12-16T07:25:53Z</dcterms:created>
  <dcterms:modified xsi:type="dcterms:W3CDTF">2013-11-29T13:43:01Z</dcterms:modified>
  <cp:category/>
  <cp:version/>
  <cp:contentType/>
  <cp:contentStatus/>
</cp:coreProperties>
</file>